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F:\1. Văn bản đi\UBND\Báo cáo\"/>
    </mc:Choice>
  </mc:AlternateContent>
  <xr:revisionPtr revIDLastSave="0" documentId="13_ncr:1_{F9C97E2D-4F82-4E0A-82F5-3170DC9D82F2}" xr6:coauthVersionLast="47" xr6:coauthVersionMax="47" xr10:uidLastSave="{00000000-0000-0000-0000-000000000000}"/>
  <bookViews>
    <workbookView xWindow="-120" yWindow="-120" windowWidth="29040" windowHeight="15840" xr2:uid="{00000000-000D-0000-FFFF-FFFF00000000}"/>
  </bookViews>
  <sheets>
    <sheet name="PL01" sheetId="3" r:id="rId1"/>
  </sheets>
  <definedNames>
    <definedName name="_xlnm.Print_Area" localSheetId="0">'PL01'!$A$1:$O$62</definedName>
    <definedName name="_xlnm.Print_Titles" localSheetId="0">'PL01'!$4:$7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4" i="3" l="1"/>
  <c r="M46" i="3" l="1"/>
  <c r="H8" i="3" l="1"/>
  <c r="I12" i="3" l="1"/>
  <c r="I13" i="3"/>
  <c r="I14" i="3"/>
  <c r="I15" i="3"/>
  <c r="I16" i="3"/>
  <c r="I17" i="3"/>
  <c r="I18" i="3"/>
  <c r="I19" i="3"/>
  <c r="I20" i="3"/>
  <c r="I21" i="3"/>
  <c r="I22" i="3"/>
  <c r="I23" i="3"/>
  <c r="I24" i="3"/>
  <c r="I25" i="3"/>
  <c r="I26" i="3"/>
  <c r="I27" i="3"/>
  <c r="I28" i="3"/>
  <c r="I29" i="3"/>
  <c r="I31" i="3"/>
  <c r="I32" i="3"/>
  <c r="I33" i="3"/>
  <c r="I34" i="3"/>
  <c r="I35" i="3"/>
  <c r="I36" i="3"/>
  <c r="I37" i="3"/>
  <c r="I38" i="3"/>
  <c r="I39" i="3"/>
  <c r="I40" i="3"/>
  <c r="I41" i="3"/>
  <c r="I42" i="3"/>
  <c r="I43" i="3"/>
  <c r="I44" i="3"/>
  <c r="I45" i="3"/>
  <c r="I48" i="3"/>
  <c r="I49" i="3"/>
  <c r="I50" i="3"/>
  <c r="I51" i="3"/>
  <c r="I52" i="3"/>
  <c r="I53" i="3"/>
  <c r="I54" i="3"/>
  <c r="I55" i="3"/>
  <c r="I56" i="3"/>
  <c r="I57" i="3"/>
  <c r="I58" i="3"/>
  <c r="I60" i="3"/>
  <c r="I11" i="3"/>
  <c r="M52" i="3"/>
  <c r="L59" i="3"/>
  <c r="I59" i="3" s="1"/>
  <c r="O60" i="3" l="1"/>
  <c r="I47" i="3"/>
  <c r="I30" i="3"/>
  <c r="N47" i="3"/>
  <c r="M47" i="3"/>
  <c r="L47" i="3"/>
  <c r="K47" i="3"/>
  <c r="J47" i="3"/>
  <c r="H47" i="3"/>
  <c r="F47" i="3"/>
  <c r="O47" i="3" l="1"/>
  <c r="N30" i="3" l="1"/>
  <c r="M30" i="3"/>
  <c r="O30" i="3" s="1"/>
  <c r="L30" i="3"/>
  <c r="K30" i="3"/>
  <c r="N10" i="3"/>
  <c r="M10" i="3"/>
  <c r="L10" i="3"/>
  <c r="L9" i="3" s="1"/>
  <c r="L8" i="3" s="1"/>
  <c r="K10" i="3"/>
  <c r="J10" i="3"/>
  <c r="I10" i="3"/>
  <c r="F10" i="3"/>
  <c r="G17" i="3"/>
  <c r="G18" i="3"/>
  <c r="G19" i="3"/>
  <c r="G20" i="3"/>
  <c r="G25" i="3"/>
  <c r="G31" i="3"/>
  <c r="G32" i="3"/>
  <c r="G33" i="3"/>
  <c r="G34" i="3"/>
  <c r="G35" i="3"/>
  <c r="G36" i="3"/>
  <c r="G37" i="3"/>
  <c r="G38" i="3"/>
  <c r="G39" i="3"/>
  <c r="G40" i="3"/>
  <c r="G41" i="3"/>
  <c r="G42" i="3"/>
  <c r="G43" i="3"/>
  <c r="G44" i="3"/>
  <c r="G45" i="3"/>
  <c r="G46" i="3"/>
  <c r="G48" i="3"/>
  <c r="G49" i="3"/>
  <c r="G50" i="3"/>
  <c r="G51" i="3"/>
  <c r="G52" i="3"/>
  <c r="G53" i="3"/>
  <c r="G54" i="3"/>
  <c r="G55" i="3"/>
  <c r="G56" i="3"/>
  <c r="G57" i="3"/>
  <c r="G58" i="3"/>
  <c r="F30" i="3"/>
  <c r="D58" i="3"/>
  <c r="D56" i="3"/>
  <c r="D55" i="3"/>
  <c r="D54" i="3"/>
  <c r="D52" i="3"/>
  <c r="D51" i="3"/>
  <c r="D50" i="3"/>
  <c r="D49" i="3"/>
  <c r="D48" i="3"/>
  <c r="D13" i="3"/>
  <c r="D12" i="3"/>
  <c r="D11" i="3"/>
  <c r="I9" i="3" l="1"/>
  <c r="I8" i="3" s="1"/>
  <c r="F9" i="3"/>
  <c r="F8" i="3" s="1"/>
  <c r="K9" i="3"/>
  <c r="K8" i="3" s="1"/>
  <c r="N9" i="3"/>
  <c r="N8" i="3" s="1"/>
  <c r="M9" i="3"/>
  <c r="M8" i="3" s="1"/>
  <c r="O10" i="3"/>
  <c r="D47" i="3"/>
  <c r="G47" i="3"/>
  <c r="G10" i="3"/>
  <c r="G30" i="3"/>
  <c r="O9" i="3" l="1"/>
  <c r="O8" i="3" s="1"/>
  <c r="G9" i="3"/>
  <c r="G8" i="3" s="1"/>
  <c r="J30" i="3" l="1"/>
  <c r="J9" i="3" s="1"/>
  <c r="J8" i="3" s="1"/>
  <c r="D30" i="3"/>
  <c r="O59" i="3"/>
  <c r="O49" i="3" l="1"/>
  <c r="O57" i="3"/>
  <c r="O55" i="3"/>
  <c r="O53" i="3"/>
  <c r="O51" i="3"/>
  <c r="O58" i="3"/>
  <c r="O54" i="3"/>
  <c r="O50" i="3"/>
  <c r="O56" i="3"/>
  <c r="O52" i="3"/>
  <c r="O48" i="3"/>
  <c r="D10" i="3"/>
  <c r="D9" i="3" s="1"/>
  <c r="D8" i="3" s="1"/>
  <c r="O33" i="3" l="1"/>
  <c r="O35" i="3"/>
  <c r="O39" i="3"/>
  <c r="O41" i="3"/>
  <c r="O32" i="3"/>
  <c r="O34" i="3"/>
  <c r="O36" i="3"/>
  <c r="O38" i="3"/>
  <c r="O40" i="3"/>
  <c r="O42" i="3"/>
  <c r="O44" i="3"/>
  <c r="O45" i="3"/>
  <c r="O37" i="3"/>
  <c r="O43" i="3"/>
  <c r="O46" i="3"/>
  <c r="O29" i="3"/>
  <c r="O28" i="3"/>
  <c r="O27" i="3"/>
  <c r="O26" i="3"/>
  <c r="O25" i="3"/>
  <c r="O24" i="3"/>
  <c r="O23" i="3"/>
  <c r="O22" i="3"/>
  <c r="O21" i="3"/>
  <c r="O20" i="3"/>
  <c r="O19" i="3"/>
  <c r="O18" i="3"/>
  <c r="O17" i="3"/>
  <c r="O16" i="3"/>
  <c r="O15" i="3"/>
  <c r="O14" i="3"/>
  <c r="O12" i="3" l="1"/>
  <c r="O31" i="3" l="1"/>
  <c r="O11" i="3" l="1"/>
  <c r="O13" i="3" l="1"/>
</calcChain>
</file>

<file path=xl/sharedStrings.xml><?xml version="1.0" encoding="utf-8"?>
<sst xmlns="http://schemas.openxmlformats.org/spreadsheetml/2006/main" count="163" uniqueCount="153">
  <si>
    <t>STT</t>
  </si>
  <si>
    <t>Danh mục nhiệm vụ, dự án</t>
  </si>
  <si>
    <t>Tổng mức đầu tư</t>
  </si>
  <si>
    <t>Tổng số</t>
  </si>
  <si>
    <t>Trong đó, chi phí GPMB</t>
  </si>
  <si>
    <t>Giá trị giải ngân</t>
  </si>
  <si>
    <t>1.1</t>
  </si>
  <si>
    <t>1.2</t>
  </si>
  <si>
    <t>Dự án đang thi công</t>
  </si>
  <si>
    <t>Tỷ lệ giải ngân so với kế hoạch vốn cấp</t>
  </si>
  <si>
    <t>Dự án đã thi công hoàn thành</t>
  </si>
  <si>
    <t>Quyết định đầu tư</t>
  </si>
  <si>
    <t>Quyết định chủ trương đầu tư</t>
  </si>
  <si>
    <t>Số QĐ, ngày, tháng năm</t>
  </si>
  <si>
    <t>………..</t>
  </si>
  <si>
    <t>Tổng cộng</t>
  </si>
  <si>
    <t>Vốn năm 2025</t>
  </si>
  <si>
    <t>NSTW</t>
  </si>
  <si>
    <t>NSĐP cấp tỉnh hỗ trợ</t>
  </si>
  <si>
    <t>NSĐP cấp xã</t>
  </si>
  <si>
    <t>Cải tạo nâng cấp tuyến đường Lê Đại Hành đoạn từ cổng ông Ngũ đi bờ Cháy xã an Lạc, thị xã Chí Linh, tỉnh Hải Dương</t>
  </si>
  <si>
    <t>Cải tạo nâng cấp đường giao thông KDC Đại phường An Lạc, TP Chí Linh; Hạng mục: Nền, mặt đường, thoát nước cây xanh và điện chiếu sáng</t>
  </si>
  <si>
    <t>Cải tạo nâng cấp đường Lê Đại Hành đoạn từ khu vực sân vận động xã An Lạc đi cổng làng văn hóa thôn Đại</t>
  </si>
  <si>
    <t>Cải tạo, nâng cấp tuyến đường từ chùa Sơn Đụn đi đường 184 phường An Lạc, thành phố Chí Linh</t>
  </si>
  <si>
    <t>Cải tạo, nâng cấp tuyến đường từ Cầu Xã đi chùa Sơn Đụn; Hạng Mục: Nền, mặt đường, hè phố, thoát nước</t>
  </si>
  <si>
    <t>Cải tạo, nâng cấp đường giao thông KDC Trại Nẻ, phường An Lạc. Tuyến đường xóm Dẹo</t>
  </si>
  <si>
    <t>Cải tạo, nâng cấp đường giao thông KDC An Bài, phường An Lạc. Tuyến đường đi Đồng Ngoài 1</t>
  </si>
  <si>
    <t>Cải tạo, nâng cấp đường giao thông KDC Bờ Đa, phường An Lạc. Tuyến đường xóm Vọng Thông</t>
  </si>
  <si>
    <t>Cải tạo, nâng cấp đường giao thông KDC Bờ Chùa, phường An Lạc. Tuyến đường xóm Mới</t>
  </si>
  <si>
    <t>Nhà lớp học 2 tầng 8 phòng, móng 3 tầng trường THCS phường An Lạc, thành phố Chí Linh</t>
  </si>
  <si>
    <t>Xây dựng bếp ăn bán trú và công trình phụ trợ trường mầm non (khu Đại)</t>
  </si>
  <si>
    <t xml:space="preserve">Cải tạo, nâng cấp công trình phụ trợ, bồn hoa cây cảnh, hệ thông chiếu sáng khu làm việc Đảng ủy, HĐND, UBND phường An Lạc  </t>
  </si>
  <si>
    <t>Cải tạo, sửa chữa, xây mới các hạng mục phụ trợ Đảng ủy - HĐND-UBND xã An Lạc, TX Chí Linh, tỉnh Hải Dương</t>
  </si>
  <si>
    <t xml:space="preserve">Chỉnh trang khu vực trạm y tế và  khu TT VH tổ chức lễ hội đền cao xã An Lạc </t>
  </si>
  <si>
    <t xml:space="preserve">Chỉnh trang đô thị KDC Đại, phường An Lạc HM Bãi đậu xe, lát gạch vỉa hè, và cây xanh     </t>
  </si>
  <si>
    <t>Chỉnh trang đô thị KDC Đại, phường An Lạc. HM : Xây dựng Ki ốt bán hàng và mở rộng sân nhà văn hóa</t>
  </si>
  <si>
    <t xml:space="preserve">Điểm dân cư Còng Cua phường An Lạc thành phố Chí Linh; HM: Hè phố, trồng cây xanh và thoát nước      </t>
  </si>
  <si>
    <t xml:space="preserve">Điểm dân cư Mộ Đạo phường An Lạc, thành phố Chí Linh; HM: Hè phố, trồng cây xanh      </t>
  </si>
  <si>
    <t>Chỉnh trang đô thị các KDC ven QL 37 đoạn 75+600 đến 76+439,63. HM: Điện chiếu sáng công cộng</t>
  </si>
  <si>
    <t>Chỉnh trang đô thị các KDC ven QL 37. HM: Bó vỉa và lát vỉa hè</t>
  </si>
  <si>
    <t xml:space="preserve"> 581a/QĐ-UBND ngày 12/9/2017 </t>
  </si>
  <si>
    <t>758/QĐ-UBND
ngày 31/10/2017</t>
  </si>
  <si>
    <t>605b/QĐ-UBND ngày 20/9/2017</t>
  </si>
  <si>
    <t>747/QĐ-UBND
ngày 31/10/2017</t>
  </si>
  <si>
    <t>Nhà hiệu bộ 02 tầng trường Tiểu học xã Tân Dân, thị xã 
Chí Linh, tỉnh Hải Dương</t>
  </si>
  <si>
    <t>Hệ thống điện chiếu sáng công cộng và trồng cây xanh đoạn từ Ngã tư giang vào làng Triều và đoạn từ QL37 và làng Nội</t>
  </si>
  <si>
    <t>Chỉnh trang đô thị các khu dân cư ven đường QL 37 đoạn qua địa phận xã Tân Dân. HM: Chặt hạ và loại bỏ gốc cây</t>
  </si>
  <si>
    <t>656/QĐ-UBND
ngày 16/10/2017</t>
  </si>
  <si>
    <t>72a/QĐ-UBND ngày 25/8/2017</t>
  </si>
  <si>
    <t>127a/QĐ-UBND
ngày 28/10/2017</t>
  </si>
  <si>
    <t>69a/QĐ-UBND ngày 4/8/2017</t>
  </si>
  <si>
    <t>73b/QĐ-UBND
ngày 19/9/2017</t>
  </si>
  <si>
    <t>Chỉnh trang đô thi các khu dân cư ven đường QL37. Đoạn Km79+576-Km80+698 bên phải qua địa phận xã Tân Dân, thị xã Chí Linh, tỉnh Hải Dương</t>
  </si>
  <si>
    <t>768/QĐ-UBND ngày 6/9/2018</t>
  </si>
  <si>
    <t>1065/QĐ-UBND ngày 24/10/2018</t>
  </si>
  <si>
    <t>Nhà hiệu bộ và các phòng chức năng trường THCS Tân Dân, TP Chí Linh</t>
  </si>
  <si>
    <t>63/QĐ-UBND ngày  17/9/2018</t>
  </si>
  <si>
    <t>123c/QĐ-UBND ngày 31/10/2018</t>
  </si>
  <si>
    <t>Nhà văn hóa KDC Vọng Cầu, phường Tân Dân, TP Chí Linh</t>
  </si>
  <si>
    <t>Xây dựng phòng chức năng trường Mầm non Tân Dân</t>
  </si>
  <si>
    <t>Các hạng mục phụ trợ trường THCS Tân Dân</t>
  </si>
  <si>
    <t>1224/QĐ-UBND ngày 23/9/2019</t>
  </si>
  <si>
    <t>QĐ số 1483/QĐ-UBND ngày 24/10/2019</t>
  </si>
  <si>
    <t>959/QĐ-UBND ngày 12/8/2019</t>
  </si>
  <si>
    <t>QĐ số 1489/QĐ-UBND
ngày 24/10/2019
338/QĐ-UBND ngày 8/4/2020</t>
  </si>
  <si>
    <t>QĐ số 193a/QĐ-UBND
ngày 31/10/2019; QĐ số 111/QĐ-UBND ngày 15/4/2020</t>
  </si>
  <si>
    <t>Nâng cấp, mở rộng đường trục phường Tân Dân, thành phố Chí Linh</t>
  </si>
  <si>
    <t>194a/QĐ-UBND ngày 8/9/2020</t>
  </si>
  <si>
    <t>263a/QĐ-UBND ngày 26/11/2020; 393/QĐ-UBND ngày 08/11/2021</t>
  </si>
  <si>
    <t>Cải tạo mái tôn nhà lớp học 2 tầng nhà B,C và D trường THCS Tân Dân</t>
  </si>
  <si>
    <t>Hội trường, nhà làm việc bộ phận 1 cửa, công trình phụ trợ trụ sở Đảng ủy - HĐND  - UBND phường Tân Dân</t>
  </si>
  <si>
    <t>647/QĐ-UBND ngày 22/8/2022</t>
  </si>
  <si>
    <t>Số 677/QĐ-UBND ngày 13/10/2022</t>
  </si>
  <si>
    <t>Số  770/QĐ-UBND ngày 20/12/2022</t>
  </si>
  <si>
    <t>Các hạng mục phụ trợ trụ sở Đảng ủy-HĐND-UBND phường Tân Dân</t>
  </si>
  <si>
    <t>Nghị quyết số 46/NQ-HĐND ngày 28/12/2023</t>
  </si>
  <si>
    <t>226/QĐ-UBND ngày 10/10/2024</t>
  </si>
  <si>
    <t>Xây dựng nghĩa trang KDC Triều, phường Tân Dân, thành phố Chí Linh, tỉnh Hải Dương</t>
  </si>
  <si>
    <t>Số  778/QĐ-UBND ngày 26/12/2022</t>
  </si>
  <si>
    <t>Xây dựng mới cổng, hàng rào và khu phụ trợ công trình trụ sở công an phường Tân Dân</t>
  </si>
  <si>
    <t>Số  746/QĐ-UBND ngày 30/11/2023</t>
  </si>
  <si>
    <t>Trường Mầm Non Đồng Lạc. Hạng mục: Nhà lớp học mẫu giáo 4 phòng</t>
  </si>
  <si>
    <t>Xây dựng nâng tầng 2 Nhà lớp học 1T-4P (làm khối phụ trợ) và các hạng mục phụ trợ trường Mầm Non Đồng Lạc</t>
  </si>
  <si>
    <t>936/QĐ-UBND
11/10/2018</t>
  </si>
  <si>
    <t xml:space="preserve"> Số: 1265/
QĐ-UBND 
31/10/2018</t>
  </si>
  <si>
    <t>1098/QĐ-UBND
29/8/2019</t>
  </si>
  <si>
    <t>Số: 1332/
QĐ-UBND
8/10/2019</t>
  </si>
  <si>
    <t>Cải tạo nâng cấp đường Lê Đại Hành đoạn tuyến trung tâm di tích đền Cao đi UBND xã An Lạc phục vụ công tác chỉnh trang đô thị xã An Lạc, thị xã Chí Linh</t>
  </si>
  <si>
    <t xml:space="preserve"> Số:568B/QĐ-UBND 
6/9/2017</t>
  </si>
  <si>
    <t xml:space="preserve"> Số:710/QĐ-UBND 
26/10/2017</t>
  </si>
  <si>
    <t>Số: 565A/
QĐ-UBND
5/9/2017</t>
  </si>
  <si>
    <t>Số: 693/
QĐ-UBND
24/10/2017</t>
  </si>
  <si>
    <t>Số: 47/NQ-HĐND
30/12/2020</t>
  </si>
  <si>
    <t>Số: 140
QĐ-UBND
31/12/2020</t>
  </si>
  <si>
    <t>Số: 131a
QĐ-UBND
01/12/2020</t>
  </si>
  <si>
    <t xml:space="preserve">  Số: 133a/
QĐ-UBND
18/12/2020</t>
  </si>
  <si>
    <t>Số: 95
QĐ-UBND
15/9/2023</t>
  </si>
  <si>
    <t>Số: 136
QĐ-UBND
29/12/2023</t>
  </si>
  <si>
    <t>Số: 83/QĐ-UBND
16/7/2019</t>
  </si>
  <si>
    <t xml:space="preserve"> 112A/QĐ-UBND 
12/8/2019</t>
  </si>
  <si>
    <t xml:space="preserve"> Số: 05/QĐ-UBND 
22/01/2016</t>
  </si>
  <si>
    <t xml:space="preserve"> Số: 70/QĐ-UBND 
15/9/2016</t>
  </si>
  <si>
    <t>Số:116/QĐ-UBND
31/10/2019</t>
  </si>
  <si>
    <t>Số:93A/QĐ-UBND
30/8/2019</t>
  </si>
  <si>
    <t>Số:116A/QĐ-UBND
31/10/2019</t>
  </si>
  <si>
    <t>41A/QĐ-UBND
28/5/2019</t>
  </si>
  <si>
    <t>Số: 101A/QĐ-UBND
16 /9/2019</t>
  </si>
  <si>
    <t>45/QĐ-UBND
12/6/2019</t>
  </si>
  <si>
    <t>Số: 81A/QĐ-UBND
19/8/2019</t>
  </si>
  <si>
    <t>Phường An Lạc cũ (19 công trình)</t>
  </si>
  <si>
    <t>Phường Tân Dân cũ (16 công trình)</t>
  </si>
  <si>
    <t>Cải tạo nhà đa năng, sân thể thao và hàng rào vườn hoa trường Tiểu Học Đồng Lạc, TP Chí Linh</t>
  </si>
  <si>
    <t>Cải tạo sân trường, bồn hoa, rãnh nước trường THCS Đồng Lạc</t>
  </si>
  <si>
    <t>Cải tạo, nâng cấp đường trục phường Đồng Lạc, TP Chí Linh. Hạng mục: Mặt đường Bê tông nhựa và sơn vạch kẻ đường.</t>
  </si>
  <si>
    <t>Chỉnh trang đô thị các KDC ven QL 37 Đoạn Km74+300 - Km74+992 đoạn qua địa phận xã Đồng Lạc. HM: Chặt hạ và loại bỏ gốc cây</t>
  </si>
  <si>
    <t>Cải tạo, sửa chữa các hạng mục phụ trợ khu vực trung tâm phường Đồng Lạc</t>
  </si>
  <si>
    <t>Sửa chữa nhà làm việc Trụ sở Đảng ủy - HĐND - UBND xã Đồng Lạc</t>
  </si>
  <si>
    <t>Cải tạo, tu bổ nghĩa trang liệt sỹ xã Đồng Lạc, thị xã Chí Linh (Giai đoạn 1)</t>
  </si>
  <si>
    <t>Tổng mặt bằng nghĩa trang nhân dân thôn Trụ Thượng, xã Đồng Lạc, Thị xã Chí Linh (Nay là Phường Đồng Lạc, TP Chí Linh)</t>
  </si>
  <si>
    <t>Trụ sở Công an phường Đồng Lạc xây dựng các hạng mục phụ trợ và GPMB</t>
  </si>
  <si>
    <t>Số 71/QĐ-UBND ngày 08/05/2023</t>
  </si>
  <si>
    <t>62b ngày 08/8/2018</t>
  </si>
  <si>
    <t>87b ngày 15/10/2019</t>
  </si>
  <si>
    <t>23a ngày 26/7/2022</t>
  </si>
  <si>
    <t>141 ngày 07/4/2021</t>
  </si>
  <si>
    <t>NQ 38 ngày 28/12/2023</t>
  </si>
  <si>
    <t>202 ngày 23/8/2024</t>
  </si>
  <si>
    <t>20 ngày 20/01/2016</t>
  </si>
  <si>
    <t>241 ngày 25/9/2024</t>
  </si>
  <si>
    <t>52b ngày 20/9/2017</t>
  </si>
  <si>
    <t>142a ngày 02/10/2019</t>
  </si>
  <si>
    <t>147a ngày 11/10/2019</t>
  </si>
  <si>
    <t>Trồng cây xanh, hoa lá màu tại dải phân cách giữa các KDC Đồng Triều, phường Đồng Lạc với Quốc lộ 37</t>
  </si>
  <si>
    <t>203 ngày 23/8/2024</t>
  </si>
  <si>
    <t>64f ngày 07/9/2018</t>
  </si>
  <si>
    <t>91a ngày 30/10/2018</t>
  </si>
  <si>
    <t>620a ngày 29/9/2017</t>
  </si>
  <si>
    <t>150 ngày 14/12/2023</t>
  </si>
  <si>
    <t>86F/QĐ-UBND
29/8/2023</t>
  </si>
  <si>
    <t>86D/QĐ-UBND
29/8/2023</t>
  </si>
  <si>
    <t>86B/QĐ-UBND
29/8/2023</t>
  </si>
  <si>
    <t>86C/QĐ-UBND
29/8/2023</t>
  </si>
  <si>
    <t xml:space="preserve"> Số: 29/QĐ -UBND
7/6/2017</t>
  </si>
  <si>
    <t xml:space="preserve">Cổng, tường rào, sân và GPMB trường Tiểu học Đồng Lạc </t>
  </si>
  <si>
    <t xml:space="preserve">Số 183a/QĐ-UBND ngày 22/12/2020 </t>
  </si>
  <si>
    <t>Phường Đồng Lạc cũ (13 công trình)</t>
  </si>
  <si>
    <t xml:space="preserve">Kế hoạch vốn được giao </t>
  </si>
  <si>
    <t>TỔNG CỘNG</t>
  </si>
  <si>
    <t>Lũy kế kết quả thực hiện 10 tháng đầu năm</t>
  </si>
  <si>
    <t xml:space="preserve"> PHỤ LỤC: KẾT QUẢ GIẢI NGÂN VỐN ĐẦU TƯ CÔNG NĂM 2025 ĐẾN NGÀY 31/10/2025</t>
  </si>
  <si>
    <t>Đơn vị tính: Triệu đồng</t>
  </si>
  <si>
    <t>Phụ luc 03</t>
  </si>
  <si>
    <t>(Phụ lục kèm theo Báo cáo số  411/BC-UBND ngày 01 tháng 12 năm 2025 của UBND phường Lê Đại Hành)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</si>
</sst>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_(* #,##0.0_);_(* \(#,##0.0\);_(* &quot;-&quot;??_);_(@_)"/>
  </numFmts>
  <fonts count="18">
    <font>
      <sz val="12"/>
      <color theme="1"/>
      <name val="Times New Roman"/>
      <family val="2"/>
    </font>
    <font>
      <sz val="11"/>
      <color theme="1"/>
      <name val="Calibri"/>
      <family val="2"/>
      <scheme val="minor"/>
    </font>
    <font>
      <b/>
      <sz val="12"/>
      <name val="Times New Roman"/>
      <family val="1"/>
    </font>
    <font>
      <sz val="12"/>
      <name val="Times New Roman"/>
      <family val="1"/>
    </font>
    <font>
      <sz val="12"/>
      <color theme="1"/>
      <name val="Times New Roman"/>
      <family val="2"/>
    </font>
    <font>
      <sz val="12"/>
      <color indexed="8"/>
      <name val="Times New Roman"/>
      <family val="1"/>
    </font>
    <font>
      <sz val="12"/>
      <color rgb="FF000000"/>
      <name val="Times New Roman"/>
      <family val="1"/>
    </font>
    <font>
      <sz val="12"/>
      <color theme="1"/>
      <name val="Times New Roman"/>
      <family val="1"/>
    </font>
    <font>
      <sz val="12"/>
      <name val=".VnTime"/>
      <family val="2"/>
    </font>
    <font>
      <b/>
      <sz val="12"/>
      <color theme="1"/>
      <name val="Times New Roman"/>
      <family val="1"/>
    </font>
    <font>
      <b/>
      <sz val="12"/>
      <color rgb="FFFF0000"/>
      <name val="Times New Roman"/>
      <family val="1"/>
    </font>
    <font>
      <b/>
      <sz val="13"/>
      <name val="Times New Roman"/>
      <family val="1"/>
    </font>
    <font>
      <b/>
      <sz val="14"/>
      <name val="Times New Roman"/>
      <family val="1"/>
    </font>
    <font>
      <i/>
      <sz val="14"/>
      <name val="Times New Roman"/>
      <family val="1"/>
    </font>
    <font>
      <sz val="10"/>
      <color rgb="FF000000"/>
      <name val="Arial"/>
      <family val="2"/>
    </font>
    <font>
      <i/>
      <sz val="12"/>
      <name val="Times New Roman"/>
      <family val="1"/>
    </font>
    <font>
      <sz val="14"/>
      <color theme="1"/>
      <name val="Times New Roman"/>
      <family val="1"/>
    </font>
    <font>
      <sz val="13"/>
      <color theme="1"/>
      <name val="Calibri"/>
      <family val="2"/>
    </font>
  </fonts>
  <fills count="4">
    <fill>
      <patternFill patternType="none"/>
    </fill>
    <fill>
      <patternFill patternType="gray125"/>
    </fill>
    <fill>
      <patternFill patternType="solid">
        <fgColor theme="0"/>
        <bgColor rgb="FFFFFF00"/>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8">
    <xf numFmtId="0" fontId="0" fillId="0" borderId="0"/>
    <xf numFmtId="0" fontId="1" fillId="0" borderId="0"/>
    <xf numFmtId="43" fontId="4" fillId="0" borderId="0" applyFont="0" applyFill="0" applyBorder="0" applyAlignment="0" applyProtection="0"/>
    <xf numFmtId="9" fontId="4" fillId="0" borderId="0" applyFont="0" applyFill="0" applyBorder="0" applyAlignment="0" applyProtection="0"/>
    <xf numFmtId="0" fontId="8" fillId="0" borderId="0"/>
    <xf numFmtId="43" fontId="3" fillId="0" borderId="0" applyFont="0" applyFill="0" applyBorder="0" applyAlignment="0" applyProtection="0"/>
    <xf numFmtId="0" fontId="14" fillId="0" borderId="0"/>
    <xf numFmtId="43" fontId="8" fillId="0" borderId="0" applyFont="0" applyFill="0" applyBorder="0" applyAlignment="0" applyProtection="0"/>
  </cellStyleXfs>
  <cellXfs count="135">
    <xf numFmtId="0" fontId="0" fillId="0" borderId="0" xfId="0"/>
    <xf numFmtId="0" fontId="3" fillId="0" borderId="0" xfId="0" applyFont="1"/>
    <xf numFmtId="0" fontId="2" fillId="0" borderId="0" xfId="0" applyFont="1" applyAlignment="1">
      <alignment horizontal="center" vertical="center"/>
    </xf>
    <xf numFmtId="0" fontId="2" fillId="0" borderId="0" xfId="0" applyFont="1"/>
    <xf numFmtId="0" fontId="2" fillId="0" borderId="1" xfId="0" applyFont="1" applyBorder="1"/>
    <xf numFmtId="0" fontId="2" fillId="0" borderId="1" xfId="0" applyFont="1" applyBorder="1" applyAlignment="1">
      <alignment vertical="center"/>
    </xf>
    <xf numFmtId="0" fontId="3" fillId="0" borderId="1" xfId="0" applyFont="1" applyBorder="1"/>
    <xf numFmtId="0" fontId="3" fillId="0" borderId="1" xfId="0" applyFont="1" applyBorder="1" applyAlignment="1">
      <alignment vertical="center"/>
    </xf>
    <xf numFmtId="0" fontId="2" fillId="0" borderId="1" xfId="0" applyFont="1" applyBorder="1" applyAlignment="1">
      <alignment horizontal="center" vertical="center" wrapText="1"/>
    </xf>
    <xf numFmtId="165" fontId="3" fillId="0" borderId="1" xfId="2" applyNumberFormat="1" applyFont="1" applyFill="1" applyBorder="1" applyAlignment="1">
      <alignment horizontal="right" vertical="center"/>
    </xf>
    <xf numFmtId="0" fontId="3" fillId="2" borderId="1" xfId="0" applyFont="1" applyFill="1" applyBorder="1" applyAlignment="1">
      <alignment horizontal="left" vertical="center" wrapText="1"/>
    </xf>
    <xf numFmtId="9" fontId="2" fillId="0" borderId="1" xfId="3" applyFont="1" applyBorder="1" applyAlignment="1">
      <alignment vertical="center"/>
    </xf>
    <xf numFmtId="0" fontId="5" fillId="3" borderId="1" xfId="0" applyFont="1" applyFill="1" applyBorder="1" applyAlignment="1" applyProtection="1">
      <alignment horizontal="left" vertical="center" wrapText="1"/>
      <protection locked="0"/>
    </xf>
    <xf numFmtId="165" fontId="3" fillId="0" borderId="1" xfId="2" applyNumberFormat="1" applyFont="1" applyBorder="1" applyAlignment="1">
      <alignment vertical="center"/>
    </xf>
    <xf numFmtId="165" fontId="3" fillId="0" borderId="1" xfId="2" applyNumberFormat="1" applyFont="1" applyBorder="1" applyAlignment="1">
      <alignment horizontal="right" vertical="center"/>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0" fontId="7" fillId="0" borderId="1" xfId="1" applyFont="1" applyBorder="1" applyAlignment="1">
      <alignment horizontal="center" vertical="center" wrapText="1"/>
    </xf>
    <xf numFmtId="0" fontId="3" fillId="3" borderId="1" xfId="0" applyFont="1" applyFill="1" applyBorder="1" applyAlignment="1">
      <alignment horizontal="center" vertical="center" wrapText="1"/>
    </xf>
    <xf numFmtId="4" fontId="3" fillId="3" borderId="1" xfId="0" applyNumberFormat="1" applyFont="1" applyFill="1" applyBorder="1" applyAlignment="1">
      <alignment horizontal="center" vertical="center" wrapText="1"/>
    </xf>
    <xf numFmtId="0" fontId="3" fillId="0" borderId="0" xfId="0" applyFont="1" applyAlignment="1">
      <alignment horizontal="right"/>
    </xf>
    <xf numFmtId="164" fontId="2" fillId="0" borderId="1" xfId="1" applyNumberFormat="1" applyFont="1" applyBorder="1" applyAlignment="1">
      <alignment horizontal="right" vertical="center" wrapText="1"/>
    </xf>
    <xf numFmtId="164" fontId="3" fillId="0" borderId="1" xfId="1" applyNumberFormat="1" applyFont="1" applyBorder="1" applyAlignment="1">
      <alignment horizontal="right" vertical="center" wrapText="1"/>
    </xf>
    <xf numFmtId="165" fontId="3" fillId="3" borderId="1" xfId="2" applyNumberFormat="1" applyFont="1" applyFill="1" applyBorder="1" applyAlignment="1">
      <alignment horizontal="right" vertical="center" wrapText="1"/>
    </xf>
    <xf numFmtId="0" fontId="2" fillId="0" borderId="1" xfId="0" applyFont="1" applyBorder="1" applyAlignment="1">
      <alignment horizontal="right" vertical="center"/>
    </xf>
    <xf numFmtId="0" fontId="3" fillId="0" borderId="1" xfId="0" applyFont="1" applyBorder="1" applyAlignment="1">
      <alignment horizontal="right"/>
    </xf>
    <xf numFmtId="0" fontId="2" fillId="0" borderId="1" xfId="0" applyFont="1" applyBorder="1" applyAlignment="1">
      <alignment horizontal="right"/>
    </xf>
    <xf numFmtId="3" fontId="3" fillId="0" borderId="1" xfId="0" applyNumberFormat="1" applyFont="1" applyBorder="1" applyAlignment="1">
      <alignment horizontal="right" vertical="center"/>
    </xf>
    <xf numFmtId="165" fontId="3" fillId="0" borderId="1" xfId="0" applyNumberFormat="1" applyFont="1" applyBorder="1" applyAlignment="1">
      <alignment horizontal="right" vertical="center"/>
    </xf>
    <xf numFmtId="0" fontId="3" fillId="0" borderId="1" xfId="0" applyFont="1" applyBorder="1" applyAlignment="1">
      <alignment horizontal="right" vertical="center"/>
    </xf>
    <xf numFmtId="0" fontId="3" fillId="0" borderId="0" xfId="0" applyFont="1" applyAlignment="1">
      <alignment horizontal="right" vertical="center"/>
    </xf>
    <xf numFmtId="165" fontId="2" fillId="0" borderId="1" xfId="1" applyNumberFormat="1" applyFont="1" applyBorder="1" applyAlignment="1">
      <alignment horizontal="right" vertical="center" wrapText="1"/>
    </xf>
    <xf numFmtId="165" fontId="2" fillId="3" borderId="1" xfId="2" applyNumberFormat="1" applyFont="1" applyFill="1" applyBorder="1" applyAlignment="1">
      <alignment horizontal="right" vertical="center" wrapText="1"/>
    </xf>
    <xf numFmtId="165" fontId="3" fillId="3" borderId="1" xfId="2" applyNumberFormat="1" applyFont="1" applyFill="1" applyBorder="1" applyAlignment="1">
      <alignment horizontal="center" vertical="center" wrapText="1"/>
    </xf>
    <xf numFmtId="43" fontId="3" fillId="3" borderId="1" xfId="2"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5" fontId="2" fillId="3" borderId="1" xfId="2" applyNumberFormat="1" applyFont="1" applyFill="1" applyBorder="1" applyAlignment="1">
      <alignment vertical="center"/>
    </xf>
    <xf numFmtId="0" fontId="2" fillId="3" borderId="0" xfId="0" applyFont="1" applyFill="1"/>
    <xf numFmtId="164" fontId="2" fillId="3" borderId="1" xfId="1" applyNumberFormat="1" applyFont="1" applyFill="1" applyBorder="1" applyAlignment="1">
      <alignment horizontal="justify" vertical="center" wrapText="1"/>
    </xf>
    <xf numFmtId="0" fontId="2" fillId="3" borderId="1" xfId="0" applyFont="1" applyFill="1" applyBorder="1" applyAlignment="1">
      <alignment vertical="center"/>
    </xf>
    <xf numFmtId="165" fontId="2" fillId="3" borderId="1" xfId="2" applyNumberFormat="1" applyFont="1" applyFill="1" applyBorder="1" applyAlignment="1">
      <alignment horizontal="right" vertical="center"/>
    </xf>
    <xf numFmtId="9" fontId="2" fillId="3" borderId="1" xfId="3" applyFont="1" applyFill="1" applyBorder="1" applyAlignment="1">
      <alignment vertical="center"/>
    </xf>
    <xf numFmtId="165" fontId="2" fillId="3" borderId="1" xfId="2" applyNumberFormat="1" applyFont="1" applyFill="1" applyBorder="1" applyAlignment="1">
      <alignment horizontal="center" vertical="center"/>
    </xf>
    <xf numFmtId="165" fontId="2" fillId="3" borderId="1" xfId="2" applyNumberFormat="1" applyFont="1" applyFill="1" applyBorder="1" applyAlignment="1">
      <alignment horizontal="justify" vertical="center" wrapText="1"/>
    </xf>
    <xf numFmtId="165" fontId="2" fillId="3" borderId="0" xfId="2" applyNumberFormat="1" applyFont="1" applyFill="1" applyAlignment="1">
      <alignment vertical="center"/>
    </xf>
    <xf numFmtId="165" fontId="2" fillId="0" borderId="1" xfId="2" applyNumberFormat="1" applyFont="1" applyBorder="1" applyAlignment="1">
      <alignment horizontal="center" vertical="center"/>
    </xf>
    <xf numFmtId="165" fontId="2" fillId="0" borderId="1" xfId="2" applyNumberFormat="1" applyFont="1" applyFill="1" applyBorder="1" applyAlignment="1">
      <alignment horizontal="right" vertical="center" wrapText="1"/>
    </xf>
    <xf numFmtId="165" fontId="2" fillId="0" borderId="1" xfId="2" applyNumberFormat="1" applyFont="1" applyBorder="1" applyAlignment="1">
      <alignment horizontal="right" vertical="center"/>
    </xf>
    <xf numFmtId="165" fontId="2" fillId="0" borderId="1" xfId="2" applyNumberFormat="1" applyFont="1" applyBorder="1" applyAlignment="1">
      <alignment vertical="center"/>
    </xf>
    <xf numFmtId="165" fontId="2" fillId="0" borderId="0" xfId="2" applyNumberFormat="1" applyFont="1" applyAlignment="1">
      <alignment vertical="center"/>
    </xf>
    <xf numFmtId="165" fontId="10" fillId="3" borderId="0" xfId="2" applyNumberFormat="1" applyFont="1" applyFill="1" applyAlignment="1">
      <alignment vertical="center"/>
    </xf>
    <xf numFmtId="165" fontId="10" fillId="3" borderId="1" xfId="2" applyNumberFormat="1" applyFont="1" applyFill="1" applyBorder="1" applyAlignment="1">
      <alignment horizontal="right" vertical="center"/>
    </xf>
    <xf numFmtId="165" fontId="10" fillId="3" borderId="1" xfId="2" applyNumberFormat="1" applyFont="1" applyFill="1" applyBorder="1" applyAlignment="1">
      <alignment vertical="center"/>
    </xf>
    <xf numFmtId="9" fontId="3" fillId="0" borderId="1" xfId="3" applyFont="1" applyBorder="1" applyAlignment="1">
      <alignment vertical="center"/>
    </xf>
    <xf numFmtId="165" fontId="7" fillId="0" borderId="1" xfId="2" applyNumberFormat="1" applyFont="1" applyFill="1" applyBorder="1" applyAlignment="1">
      <alignment horizontal="center" vertical="center" wrapText="1"/>
    </xf>
    <xf numFmtId="165" fontId="2" fillId="3" borderId="1" xfId="2" applyNumberFormat="1" applyFont="1" applyFill="1" applyBorder="1" applyAlignment="1">
      <alignment horizontal="left" vertical="center" wrapText="1"/>
    </xf>
    <xf numFmtId="0" fontId="2" fillId="0" borderId="1" xfId="0" applyFont="1" applyBorder="1" applyAlignment="1">
      <alignment horizontal="center" vertical="center"/>
    </xf>
    <xf numFmtId="165" fontId="10" fillId="3" borderId="1" xfId="2" applyNumberFormat="1" applyFont="1" applyFill="1" applyBorder="1" applyAlignment="1">
      <alignment horizontal="center" vertical="center"/>
    </xf>
    <xf numFmtId="165" fontId="10" fillId="3" borderId="1" xfId="2" applyNumberFormat="1" applyFont="1" applyFill="1" applyBorder="1" applyAlignment="1">
      <alignment horizontal="justify" vertical="center" wrapText="1"/>
    </xf>
    <xf numFmtId="165" fontId="10" fillId="3" borderId="1" xfId="2" applyNumberFormat="1" applyFont="1" applyFill="1" applyBorder="1" applyAlignment="1">
      <alignment horizontal="right" vertical="center" wrapText="1"/>
    </xf>
    <xf numFmtId="9" fontId="10" fillId="3" borderId="1" xfId="3" applyFont="1" applyFill="1" applyBorder="1" applyAlignment="1">
      <alignment vertical="center"/>
    </xf>
    <xf numFmtId="164" fontId="2" fillId="3" borderId="1" xfId="1" applyNumberFormat="1" applyFont="1" applyFill="1" applyBorder="1" applyAlignment="1">
      <alignment horizontal="right" vertical="center" wrapText="1"/>
    </xf>
    <xf numFmtId="0" fontId="7" fillId="0" borderId="1" xfId="1" applyFont="1" applyBorder="1" applyAlignment="1">
      <alignment horizontal="right"/>
    </xf>
    <xf numFmtId="165" fontId="7" fillId="0" borderId="1" xfId="2" applyNumberFormat="1" applyFont="1" applyBorder="1" applyAlignment="1">
      <alignment vertical="center" wrapText="1"/>
    </xf>
    <xf numFmtId="0" fontId="3" fillId="3" borderId="1" xfId="4" applyFont="1" applyFill="1" applyBorder="1" applyAlignment="1">
      <alignment horizontal="left" vertical="center" wrapText="1"/>
    </xf>
    <xf numFmtId="0" fontId="7" fillId="0" borderId="1" xfId="1" applyFont="1" applyBorder="1" applyAlignment="1">
      <alignment horizontal="right" vertical="center" wrapText="1"/>
    </xf>
    <xf numFmtId="0" fontId="9" fillId="3" borderId="1" xfId="1" applyFont="1" applyFill="1" applyBorder="1" applyAlignment="1">
      <alignment horizontal="center"/>
    </xf>
    <xf numFmtId="165" fontId="9" fillId="3" borderId="1" xfId="1" applyNumberFormat="1" applyFont="1" applyFill="1" applyBorder="1" applyAlignment="1">
      <alignment horizontal="right" vertical="center"/>
    </xf>
    <xf numFmtId="0" fontId="9" fillId="3" borderId="1" xfId="1" applyFont="1" applyFill="1" applyBorder="1" applyAlignment="1">
      <alignment horizontal="center" vertical="center" wrapText="1"/>
    </xf>
    <xf numFmtId="165" fontId="9" fillId="3" borderId="1" xfId="2" applyNumberFormat="1" applyFont="1" applyFill="1" applyBorder="1" applyAlignment="1">
      <alignment horizontal="right" vertical="center" wrapText="1"/>
    </xf>
    <xf numFmtId="165" fontId="2" fillId="3" borderId="1" xfId="2" applyNumberFormat="1" applyFont="1" applyFill="1" applyBorder="1" applyAlignment="1">
      <alignment horizontal="center" vertical="center" wrapText="1"/>
    </xf>
    <xf numFmtId="165" fontId="2" fillId="0" borderId="1" xfId="2" applyNumberFormat="1" applyFont="1" applyFill="1" applyBorder="1" applyAlignment="1">
      <alignment horizontal="right" vertical="center"/>
    </xf>
    <xf numFmtId="165" fontId="2" fillId="0" borderId="1" xfId="0" applyNumberFormat="1" applyFont="1" applyBorder="1" applyAlignment="1">
      <alignment horizontal="right" vertical="center"/>
    </xf>
    <xf numFmtId="165" fontId="11" fillId="0" borderId="0" xfId="2" applyNumberFormat="1" applyFont="1" applyAlignment="1">
      <alignment vertical="center" wrapText="1"/>
    </xf>
    <xf numFmtId="43" fontId="11" fillId="0" borderId="0" xfId="2" applyFont="1" applyAlignment="1">
      <alignment vertical="center" wrapText="1"/>
    </xf>
    <xf numFmtId="165" fontId="11" fillId="3" borderId="0" xfId="0" applyNumberFormat="1" applyFont="1" applyFill="1" applyAlignment="1">
      <alignment vertical="center" wrapText="1"/>
    </xf>
    <xf numFmtId="43" fontId="3" fillId="0" borderId="0" xfId="2" applyFont="1" applyBorder="1" applyAlignment="1">
      <alignment vertical="center"/>
    </xf>
    <xf numFmtId="43" fontId="2" fillId="0" borderId="0" xfId="2" applyFont="1" applyBorder="1" applyAlignment="1">
      <alignment vertical="center"/>
    </xf>
    <xf numFmtId="0" fontId="3" fillId="3" borderId="0" xfId="0" applyFont="1" applyFill="1"/>
    <xf numFmtId="164" fontId="3" fillId="3" borderId="1" xfId="1" applyNumberFormat="1" applyFont="1" applyFill="1" applyBorder="1" applyAlignment="1">
      <alignment horizontal="justify" vertical="center" wrapText="1"/>
    </xf>
    <xf numFmtId="0" fontId="5" fillId="3" borderId="1" xfId="0" applyFont="1" applyFill="1" applyBorder="1" applyAlignment="1" applyProtection="1">
      <alignment horizontal="justify" vertical="center" wrapText="1"/>
      <protection locked="0"/>
    </xf>
    <xf numFmtId="0" fontId="6" fillId="3" borderId="1" xfId="0" applyFont="1" applyFill="1" applyBorder="1" applyAlignment="1">
      <alignment horizontal="left" vertical="center" wrapText="1"/>
    </xf>
    <xf numFmtId="0" fontId="6" fillId="3" borderId="1" xfId="0" applyFont="1" applyFill="1" applyBorder="1" applyAlignment="1">
      <alignment vertical="center" wrapText="1"/>
    </xf>
    <xf numFmtId="0" fontId="7" fillId="3" borderId="1" xfId="0" applyFont="1" applyFill="1" applyBorder="1" applyAlignment="1">
      <alignment horizontal="justify" vertical="center" wrapText="1"/>
    </xf>
    <xf numFmtId="0" fontId="7" fillId="3" borderId="1" xfId="0" applyFont="1" applyFill="1" applyBorder="1" applyAlignment="1">
      <alignment vertical="center" wrapText="1"/>
    </xf>
    <xf numFmtId="0" fontId="6" fillId="3" borderId="1" xfId="0" applyFont="1" applyFill="1" applyBorder="1" applyAlignment="1">
      <alignment horizontal="justify" vertical="center" wrapText="1"/>
    </xf>
    <xf numFmtId="0" fontId="5" fillId="3" borderId="1" xfId="4" applyFont="1" applyFill="1" applyBorder="1" applyAlignment="1" applyProtection="1">
      <alignment horizontal="left" vertical="center" wrapText="1"/>
      <protection locked="0"/>
    </xf>
    <xf numFmtId="0" fontId="3"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3" fillId="3" borderId="1" xfId="1" applyFont="1" applyFill="1" applyBorder="1" applyAlignment="1">
      <alignment horizontal="left" vertical="center" wrapText="1"/>
    </xf>
    <xf numFmtId="0" fontId="3" fillId="3" borderId="0" xfId="0" applyFont="1" applyFill="1" applyAlignment="1">
      <alignment horizontal="right"/>
    </xf>
    <xf numFmtId="0" fontId="3" fillId="3" borderId="1" xfId="0" applyFont="1" applyFill="1" applyBorder="1" applyAlignment="1">
      <alignment horizontal="right"/>
    </xf>
    <xf numFmtId="165" fontId="3" fillId="3" borderId="1" xfId="0" applyNumberFormat="1" applyFont="1" applyFill="1" applyBorder="1" applyAlignment="1">
      <alignment horizontal="right" vertical="center"/>
    </xf>
    <xf numFmtId="165" fontId="2" fillId="3" borderId="1" xfId="0" applyNumberFormat="1" applyFont="1" applyFill="1" applyBorder="1" applyAlignment="1">
      <alignment horizontal="right" vertical="center"/>
    </xf>
    <xf numFmtId="0" fontId="2" fillId="3" borderId="1" xfId="0" applyFont="1" applyFill="1" applyBorder="1" applyAlignment="1">
      <alignment horizontal="center" vertical="center" wrapText="1"/>
    </xf>
    <xf numFmtId="3" fontId="3" fillId="3" borderId="1" xfId="5"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1" applyFont="1" applyFill="1" applyBorder="1"/>
    <xf numFmtId="0" fontId="7" fillId="3" borderId="1" xfId="1" applyFont="1" applyFill="1" applyBorder="1" applyAlignment="1">
      <alignment vertical="center" wrapText="1"/>
    </xf>
    <xf numFmtId="165" fontId="3" fillId="3" borderId="1" xfId="0" applyNumberFormat="1" applyFont="1" applyFill="1" applyBorder="1" applyAlignment="1">
      <alignment horizontal="center" vertical="center" wrapText="1"/>
    </xf>
    <xf numFmtId="0" fontId="7" fillId="3" borderId="1" xfId="1" applyFont="1" applyFill="1" applyBorder="1" applyAlignment="1">
      <alignment horizontal="center" vertical="center" wrapText="1"/>
    </xf>
    <xf numFmtId="166" fontId="3" fillId="3" borderId="1" xfId="2" applyNumberFormat="1" applyFont="1" applyFill="1" applyBorder="1" applyAlignment="1">
      <alignment horizontal="center" vertical="center" wrapText="1"/>
    </xf>
    <xf numFmtId="0" fontId="2" fillId="3" borderId="1" xfId="0" applyFont="1" applyFill="1" applyBorder="1" applyAlignment="1">
      <alignment horizontal="right"/>
    </xf>
    <xf numFmtId="164" fontId="3" fillId="0" borderId="1" xfId="1" applyNumberFormat="1" applyFont="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right" vertical="center"/>
    </xf>
    <xf numFmtId="3" fontId="16" fillId="0" borderId="0" xfId="0" applyNumberFormat="1" applyFont="1"/>
    <xf numFmtId="3" fontId="2" fillId="0" borderId="0" xfId="0" applyNumberFormat="1" applyFont="1"/>
    <xf numFmtId="3" fontId="17" fillId="0" borderId="0" xfId="0" applyNumberFormat="1" applyFont="1"/>
    <xf numFmtId="3" fontId="3" fillId="0" borderId="0" xfId="0" applyNumberFormat="1" applyFont="1"/>
    <xf numFmtId="0" fontId="12" fillId="0" borderId="0" xfId="0" applyFont="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2" fillId="0" borderId="0" xfId="0" applyFont="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3" borderId="13" xfId="0" applyFont="1" applyFill="1" applyBorder="1" applyAlignment="1">
      <alignment horizontal="center" vertical="center" wrapText="1"/>
    </xf>
    <xf numFmtId="0" fontId="13"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0" xfId="0" applyFont="1" applyAlignment="1">
      <alignment horizontal="center" vertical="center" wrapText="1"/>
    </xf>
    <xf numFmtId="0" fontId="2" fillId="0" borderId="15" xfId="0" applyFont="1" applyBorder="1" applyAlignment="1">
      <alignment horizontal="center" vertical="center" wrapText="1"/>
    </xf>
  </cellXfs>
  <cellStyles count="8">
    <cellStyle name="Comma" xfId="2" builtinId="3"/>
    <cellStyle name="Comma 30" xfId="5" xr:uid="{00000000-0005-0000-0000-000001000000}"/>
    <cellStyle name="Comma 7" xfId="7" xr:uid="{00000000-0005-0000-0000-000002000000}"/>
    <cellStyle name="Normal" xfId="0" builtinId="0"/>
    <cellStyle name="Normal 2 4" xfId="4" xr:uid="{00000000-0005-0000-0000-000004000000}"/>
    <cellStyle name="Normal 3" xfId="1" xr:uid="{00000000-0005-0000-0000-000005000000}"/>
    <cellStyle name="Normal 34" xfId="6" xr:uid="{00000000-0005-0000-0000-000006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8"/>
  <sheetViews>
    <sheetView tabSelected="1" view="pageBreakPreview" zoomScale="60" zoomScaleNormal="55" workbookViewId="0">
      <pane xSplit="11" ySplit="7" topLeftCell="L8" activePane="bottomRight" state="frozen"/>
      <selection pane="topRight" activeCell="K1" sqref="K1"/>
      <selection pane="bottomLeft" activeCell="A8" sqref="A8"/>
      <selection pane="bottomRight" activeCell="K7" sqref="K7"/>
    </sheetView>
  </sheetViews>
  <sheetFormatPr defaultRowHeight="15.75"/>
  <cols>
    <col min="1" max="1" width="7.125" style="2" customWidth="1"/>
    <col min="2" max="2" width="36.125" style="79" customWidth="1"/>
    <col min="3" max="3" width="14.875" style="79" customWidth="1"/>
    <col min="4" max="4" width="16.625" style="21" customWidth="1"/>
    <col min="5" max="5" width="9" style="79"/>
    <col min="6" max="6" width="16.75" style="91" customWidth="1"/>
    <col min="7" max="7" width="16.75" style="21" hidden="1" customWidth="1"/>
    <col min="8" max="8" width="16.875" style="1" customWidth="1"/>
    <col min="9" max="9" width="17.375" style="91" customWidth="1"/>
    <col min="10" max="10" width="10.125" style="1" customWidth="1"/>
    <col min="11" max="11" width="25.625" style="21" customWidth="1"/>
    <col min="12" max="12" width="17.75" style="21" customWidth="1"/>
    <col min="13" max="13" width="16.375" style="31" customWidth="1"/>
    <col min="14" max="14" width="10.125" style="1" bestFit="1" customWidth="1"/>
    <col min="15" max="15" width="11.25" style="1" customWidth="1"/>
    <col min="16" max="16" width="22" style="1" customWidth="1"/>
    <col min="17" max="17" width="29.375" style="1" customWidth="1"/>
    <col min="18" max="16384" width="9" style="1"/>
  </cols>
  <sheetData>
    <row r="1" spans="1:17" ht="26.25" customHeight="1">
      <c r="A1" s="114" t="s">
        <v>149</v>
      </c>
      <c r="B1" s="114"/>
      <c r="C1" s="114"/>
      <c r="D1" s="114"/>
      <c r="E1" s="114"/>
      <c r="F1" s="114"/>
      <c r="G1" s="114"/>
      <c r="H1" s="114"/>
      <c r="I1" s="114"/>
      <c r="J1" s="114"/>
      <c r="K1" s="114"/>
      <c r="L1" s="114"/>
      <c r="M1" s="111" t="s">
        <v>151</v>
      </c>
      <c r="N1" s="111"/>
      <c r="O1" s="111"/>
    </row>
    <row r="2" spans="1:17" ht="26.25" customHeight="1">
      <c r="A2" s="124" t="s">
        <v>152</v>
      </c>
      <c r="B2" s="124"/>
      <c r="C2" s="124"/>
      <c r="D2" s="124"/>
      <c r="E2" s="124"/>
      <c r="F2" s="124"/>
      <c r="G2" s="124"/>
      <c r="H2" s="124"/>
      <c r="I2" s="124"/>
      <c r="J2" s="124"/>
      <c r="K2" s="124"/>
      <c r="L2" s="124"/>
      <c r="M2" s="124"/>
      <c r="N2" s="124"/>
      <c r="O2" s="124"/>
    </row>
    <row r="3" spans="1:17" ht="24" customHeight="1">
      <c r="L3" s="105"/>
      <c r="M3" s="106" t="s">
        <v>150</v>
      </c>
    </row>
    <row r="4" spans="1:17" s="4" customFormat="1" ht="39.75" customHeight="1">
      <c r="A4" s="128" t="s">
        <v>0</v>
      </c>
      <c r="B4" s="129" t="s">
        <v>1</v>
      </c>
      <c r="C4" s="130" t="s">
        <v>12</v>
      </c>
      <c r="D4" s="130"/>
      <c r="E4" s="128" t="s">
        <v>11</v>
      </c>
      <c r="F4" s="128"/>
      <c r="G4" s="128"/>
      <c r="H4" s="128"/>
      <c r="I4" s="130" t="s">
        <v>146</v>
      </c>
      <c r="J4" s="130"/>
      <c r="K4" s="130"/>
      <c r="L4" s="130"/>
      <c r="M4" s="117" t="s">
        <v>148</v>
      </c>
      <c r="N4" s="118"/>
      <c r="O4" s="119"/>
      <c r="P4" s="74"/>
      <c r="Q4" s="75"/>
    </row>
    <row r="5" spans="1:17" s="4" customFormat="1" ht="26.25" customHeight="1">
      <c r="A5" s="128"/>
      <c r="B5" s="129"/>
      <c r="C5" s="115" t="s">
        <v>13</v>
      </c>
      <c r="D5" s="112" t="s">
        <v>2</v>
      </c>
      <c r="E5" s="115" t="s">
        <v>13</v>
      </c>
      <c r="F5" s="125" t="s">
        <v>2</v>
      </c>
      <c r="G5" s="126"/>
      <c r="H5" s="127"/>
      <c r="I5" s="115" t="s">
        <v>15</v>
      </c>
      <c r="J5" s="117" t="s">
        <v>16</v>
      </c>
      <c r="K5" s="118"/>
      <c r="L5" s="119"/>
      <c r="M5" s="132"/>
      <c r="N5" s="133"/>
      <c r="O5" s="134"/>
      <c r="P5" s="76"/>
      <c r="Q5" s="77"/>
    </row>
    <row r="6" spans="1:17" s="4" customFormat="1" ht="27.75" customHeight="1">
      <c r="A6" s="128"/>
      <c r="B6" s="129"/>
      <c r="C6" s="123"/>
      <c r="D6" s="131"/>
      <c r="E6" s="123"/>
      <c r="F6" s="115" t="s">
        <v>3</v>
      </c>
      <c r="G6" s="112" t="s">
        <v>3</v>
      </c>
      <c r="H6" s="112" t="s">
        <v>4</v>
      </c>
      <c r="I6" s="123"/>
      <c r="J6" s="120"/>
      <c r="K6" s="121"/>
      <c r="L6" s="122"/>
      <c r="M6" s="120"/>
      <c r="N6" s="121"/>
      <c r="O6" s="122"/>
      <c r="P6" s="76"/>
      <c r="Q6" s="78"/>
    </row>
    <row r="7" spans="1:17" s="4" customFormat="1" ht="117.75" customHeight="1">
      <c r="A7" s="128"/>
      <c r="B7" s="129"/>
      <c r="C7" s="116"/>
      <c r="D7" s="113"/>
      <c r="E7" s="116"/>
      <c r="F7" s="116"/>
      <c r="G7" s="113"/>
      <c r="H7" s="113"/>
      <c r="I7" s="116"/>
      <c r="J7" s="8" t="s">
        <v>17</v>
      </c>
      <c r="K7" s="8" t="s">
        <v>18</v>
      </c>
      <c r="L7" s="8" t="s">
        <v>19</v>
      </c>
      <c r="M7" s="8" t="s">
        <v>5</v>
      </c>
      <c r="N7" s="8" t="s">
        <v>4</v>
      </c>
      <c r="O7" s="8" t="s">
        <v>9</v>
      </c>
      <c r="P7" s="76"/>
      <c r="Q7" s="78"/>
    </row>
    <row r="8" spans="1:17" s="51" customFormat="1" ht="39.75" customHeight="1">
      <c r="A8" s="58"/>
      <c r="B8" s="59" t="s">
        <v>147</v>
      </c>
      <c r="C8" s="59"/>
      <c r="D8" s="60">
        <f>D9+D61</f>
        <v>106899.73999999999</v>
      </c>
      <c r="E8" s="59"/>
      <c r="F8" s="52">
        <f t="shared" ref="F8:O8" si="0">F9+F61</f>
        <v>187912.22959999999</v>
      </c>
      <c r="G8" s="52">
        <f t="shared" si="0"/>
        <v>186744628000</v>
      </c>
      <c r="H8" s="53">
        <f t="shared" si="0"/>
        <v>0</v>
      </c>
      <c r="I8" s="52">
        <f t="shared" si="0"/>
        <v>47228.748752000007</v>
      </c>
      <c r="J8" s="53">
        <f t="shared" si="0"/>
        <v>0</v>
      </c>
      <c r="K8" s="52">
        <f t="shared" si="0"/>
        <v>44537.183631000007</v>
      </c>
      <c r="L8" s="52">
        <f t="shared" si="0"/>
        <v>2691.5651210000001</v>
      </c>
      <c r="M8" s="52">
        <f t="shared" si="0"/>
        <v>44652.477471999999</v>
      </c>
      <c r="N8" s="53">
        <f t="shared" si="0"/>
        <v>0</v>
      </c>
      <c r="O8" s="61">
        <f t="shared" si="0"/>
        <v>0.94545120613869937</v>
      </c>
    </row>
    <row r="9" spans="1:17" s="50" customFormat="1" ht="37.5" customHeight="1">
      <c r="A9" s="46" t="s">
        <v>6</v>
      </c>
      <c r="B9" s="44" t="s">
        <v>10</v>
      </c>
      <c r="C9" s="44"/>
      <c r="D9" s="47">
        <f>D10+D30+D47</f>
        <v>106899.73999999999</v>
      </c>
      <c r="E9" s="44"/>
      <c r="F9" s="41">
        <f>F10+F30+F47</f>
        <v>187912.22959999999</v>
      </c>
      <c r="G9" s="48">
        <f>G10+G30+G47</f>
        <v>186744628000</v>
      </c>
      <c r="H9" s="49"/>
      <c r="I9" s="41">
        <f t="shared" ref="I9:N9" si="1">I10+I30+I47</f>
        <v>47228.748752000007</v>
      </c>
      <c r="J9" s="49">
        <f t="shared" si="1"/>
        <v>0</v>
      </c>
      <c r="K9" s="48">
        <f t="shared" si="1"/>
        <v>44537.183631000007</v>
      </c>
      <c r="L9" s="48">
        <f t="shared" si="1"/>
        <v>2691.5651210000001</v>
      </c>
      <c r="M9" s="48">
        <f t="shared" si="1"/>
        <v>44652.477471999999</v>
      </c>
      <c r="N9" s="49">
        <f t="shared" si="1"/>
        <v>0</v>
      </c>
      <c r="O9" s="11">
        <f t="shared" ref="O9:O40" si="2">M9/I9</f>
        <v>0.94545120613869937</v>
      </c>
    </row>
    <row r="10" spans="1:17" s="45" customFormat="1" ht="42" customHeight="1">
      <c r="A10" s="43"/>
      <c r="B10" s="56" t="s">
        <v>109</v>
      </c>
      <c r="C10" s="44"/>
      <c r="D10" s="33">
        <f>SUM(D11:D29)</f>
        <v>67189.101999999999</v>
      </c>
      <c r="E10" s="44"/>
      <c r="F10" s="41">
        <f>SUM(F11:F29)</f>
        <v>71097.638999999981</v>
      </c>
      <c r="G10" s="41">
        <f>SUM(G11:G29)</f>
        <v>71097639000</v>
      </c>
      <c r="H10" s="37"/>
      <c r="I10" s="41">
        <f t="shared" ref="I10:N10" si="3">SUM(I11:I29)</f>
        <v>12008.739594000002</v>
      </c>
      <c r="J10" s="37">
        <f t="shared" si="3"/>
        <v>0</v>
      </c>
      <c r="K10" s="41">
        <f t="shared" si="3"/>
        <v>11728.062222000002</v>
      </c>
      <c r="L10" s="41">
        <f t="shared" si="3"/>
        <v>280.67737200000005</v>
      </c>
      <c r="M10" s="41">
        <f t="shared" si="3"/>
        <v>11034.104897000001</v>
      </c>
      <c r="N10" s="37">
        <f t="shared" si="3"/>
        <v>0</v>
      </c>
      <c r="O10" s="42">
        <f t="shared" si="2"/>
        <v>0.9188395510310704</v>
      </c>
    </row>
    <row r="11" spans="1:17" s="3" customFormat="1" ht="80.099999999999994" customHeight="1">
      <c r="A11" s="16">
        <v>1</v>
      </c>
      <c r="B11" s="81" t="s">
        <v>20</v>
      </c>
      <c r="C11" s="96" t="s">
        <v>83</v>
      </c>
      <c r="D11" s="24">
        <f>14998.178</f>
        <v>14998.178</v>
      </c>
      <c r="E11" s="100" t="s">
        <v>84</v>
      </c>
      <c r="F11" s="34">
        <v>14998.178</v>
      </c>
      <c r="G11" s="34">
        <v>14998178000</v>
      </c>
      <c r="H11" s="5"/>
      <c r="I11" s="93">
        <f>J11+K11+L11</f>
        <v>1652.2550000000001</v>
      </c>
      <c r="J11" s="7"/>
      <c r="K11" s="9">
        <v>1652.2550000000001</v>
      </c>
      <c r="L11" s="29">
        <v>0</v>
      </c>
      <c r="M11" s="29">
        <v>1652.2550000000001</v>
      </c>
      <c r="N11" s="5"/>
      <c r="O11" s="54">
        <f t="shared" si="2"/>
        <v>1</v>
      </c>
      <c r="Q11" s="109">
        <v>246529250</v>
      </c>
    </row>
    <row r="12" spans="1:17" s="3" customFormat="1" ht="113.25" customHeight="1">
      <c r="A12" s="17">
        <v>2</v>
      </c>
      <c r="B12" s="81" t="s">
        <v>21</v>
      </c>
      <c r="C12" s="96" t="s">
        <v>85</v>
      </c>
      <c r="D12" s="24">
        <f>5338</f>
        <v>5338</v>
      </c>
      <c r="E12" s="100" t="s">
        <v>86</v>
      </c>
      <c r="F12" s="34">
        <v>5338.692</v>
      </c>
      <c r="G12" s="34">
        <v>5338692000</v>
      </c>
      <c r="H12" s="5"/>
      <c r="I12" s="93">
        <f t="shared" ref="I12:I60" si="4">J12+K12+L12</f>
        <v>655.51099999999997</v>
      </c>
      <c r="J12" s="7"/>
      <c r="K12" s="9">
        <v>655.51099999999997</v>
      </c>
      <c r="L12" s="14">
        <v>0</v>
      </c>
      <c r="M12" s="29">
        <v>655.51099999999997</v>
      </c>
      <c r="N12" s="5"/>
      <c r="O12" s="54">
        <f t="shared" si="2"/>
        <v>1</v>
      </c>
      <c r="Q12" s="109">
        <v>541786250</v>
      </c>
    </row>
    <row r="13" spans="1:17" s="3" customFormat="1" ht="107.25" customHeight="1">
      <c r="A13" s="16">
        <v>3</v>
      </c>
      <c r="B13" s="81" t="s">
        <v>87</v>
      </c>
      <c r="C13" s="19" t="s">
        <v>88</v>
      </c>
      <c r="D13" s="24">
        <f>5471.39</f>
        <v>5471.39</v>
      </c>
      <c r="E13" s="100" t="s">
        <v>89</v>
      </c>
      <c r="F13" s="34">
        <v>5471.6390000000001</v>
      </c>
      <c r="G13" s="34">
        <v>5471639000</v>
      </c>
      <c r="H13" s="5"/>
      <c r="I13" s="93">
        <f t="shared" si="4"/>
        <v>982.11</v>
      </c>
      <c r="J13" s="7"/>
      <c r="K13" s="9">
        <v>982.11</v>
      </c>
      <c r="L13" s="29">
        <v>0</v>
      </c>
      <c r="M13" s="29">
        <v>349.831324</v>
      </c>
      <c r="N13" s="5"/>
      <c r="O13" s="54">
        <f t="shared" si="2"/>
        <v>0.3562038101638309</v>
      </c>
      <c r="Q13" s="109">
        <v>265125000</v>
      </c>
    </row>
    <row r="14" spans="1:17" s="3" customFormat="1" ht="80.099999999999994" customHeight="1">
      <c r="A14" s="17">
        <v>4</v>
      </c>
      <c r="B14" s="81" t="s">
        <v>22</v>
      </c>
      <c r="C14" s="19" t="s">
        <v>90</v>
      </c>
      <c r="D14" s="24">
        <v>6701.5339999999997</v>
      </c>
      <c r="E14" s="100" t="s">
        <v>91</v>
      </c>
      <c r="F14" s="34">
        <v>6701.5339999999997</v>
      </c>
      <c r="G14" s="34">
        <v>6701534000</v>
      </c>
      <c r="H14" s="5"/>
      <c r="I14" s="93">
        <f t="shared" si="4"/>
        <v>597.70847500000002</v>
      </c>
      <c r="J14" s="7"/>
      <c r="K14" s="9">
        <v>597.70847500000002</v>
      </c>
      <c r="L14" s="14">
        <v>0</v>
      </c>
      <c r="M14" s="29">
        <v>255.35245399999999</v>
      </c>
      <c r="N14" s="5"/>
      <c r="O14" s="54">
        <f t="shared" si="2"/>
        <v>0.42721906193483367</v>
      </c>
      <c r="Q14" s="108">
        <f>Q11+Q12+Q13</f>
        <v>1053440500</v>
      </c>
    </row>
    <row r="15" spans="1:17" s="3" customFormat="1" ht="80.099999999999994" customHeight="1">
      <c r="A15" s="16">
        <v>5</v>
      </c>
      <c r="B15" s="81" t="s">
        <v>23</v>
      </c>
      <c r="C15" s="19" t="s">
        <v>92</v>
      </c>
      <c r="D15" s="24">
        <v>13500</v>
      </c>
      <c r="E15" s="19" t="s">
        <v>93</v>
      </c>
      <c r="F15" s="34">
        <v>13117.877</v>
      </c>
      <c r="G15" s="34">
        <v>13117877000</v>
      </c>
      <c r="H15" s="5"/>
      <c r="I15" s="93">
        <f t="shared" si="4"/>
        <v>2945.7604999999999</v>
      </c>
      <c r="J15" s="7"/>
      <c r="K15" s="9">
        <v>2945.7604999999999</v>
      </c>
      <c r="L15" s="29">
        <v>0</v>
      </c>
      <c r="M15" s="29">
        <v>2945.7604999999999</v>
      </c>
      <c r="N15" s="5"/>
      <c r="O15" s="54">
        <f t="shared" si="2"/>
        <v>1</v>
      </c>
    </row>
    <row r="16" spans="1:17" s="3" customFormat="1" ht="80.099999999999994" customHeight="1">
      <c r="A16" s="17">
        <v>6</v>
      </c>
      <c r="B16" s="81" t="s">
        <v>24</v>
      </c>
      <c r="C16" s="19" t="s">
        <v>92</v>
      </c>
      <c r="D16" s="24">
        <v>7500</v>
      </c>
      <c r="E16" s="19" t="s">
        <v>94</v>
      </c>
      <c r="F16" s="34">
        <v>7260.3209999999999</v>
      </c>
      <c r="G16" s="34">
        <v>7260321000</v>
      </c>
      <c r="H16" s="5"/>
      <c r="I16" s="93">
        <f t="shared" si="4"/>
        <v>719.57524699999999</v>
      </c>
      <c r="J16" s="7"/>
      <c r="K16" s="9">
        <v>574.92524700000001</v>
      </c>
      <c r="L16" s="14">
        <v>144.65</v>
      </c>
      <c r="M16" s="29">
        <v>719.57524699999999</v>
      </c>
      <c r="N16" s="5"/>
      <c r="O16" s="54">
        <f t="shared" si="2"/>
        <v>1</v>
      </c>
    </row>
    <row r="17" spans="1:15" s="3" customFormat="1" ht="66.75" customHeight="1">
      <c r="A17" s="16">
        <v>7</v>
      </c>
      <c r="B17" s="82" t="s">
        <v>25</v>
      </c>
      <c r="C17" s="39"/>
      <c r="D17" s="32">
        <v>0</v>
      </c>
      <c r="E17" s="97" t="s">
        <v>138</v>
      </c>
      <c r="F17" s="34">
        <v>657.69</v>
      </c>
      <c r="G17" s="55">
        <f>657.69*1000000</f>
        <v>657690000</v>
      </c>
      <c r="H17" s="5"/>
      <c r="I17" s="93">
        <f t="shared" si="4"/>
        <v>5.3440000000000003</v>
      </c>
      <c r="J17" s="7"/>
      <c r="K17" s="9">
        <v>0</v>
      </c>
      <c r="L17" s="29">
        <v>5.3440000000000003</v>
      </c>
      <c r="M17" s="29">
        <v>5.3440000000000003</v>
      </c>
      <c r="N17" s="5"/>
      <c r="O17" s="54">
        <f t="shared" si="2"/>
        <v>1</v>
      </c>
    </row>
    <row r="18" spans="1:15" s="3" customFormat="1" ht="80.099999999999994" customHeight="1">
      <c r="A18" s="17">
        <v>8</v>
      </c>
      <c r="B18" s="83" t="s">
        <v>26</v>
      </c>
      <c r="C18" s="39"/>
      <c r="D18" s="32">
        <v>0</v>
      </c>
      <c r="E18" s="97" t="s">
        <v>139</v>
      </c>
      <c r="F18" s="34">
        <v>833.50300000000004</v>
      </c>
      <c r="G18" s="55">
        <f>833.503*1000000</f>
        <v>833503000</v>
      </c>
      <c r="H18" s="5"/>
      <c r="I18" s="93">
        <f t="shared" si="4"/>
        <v>0.39400000000000002</v>
      </c>
      <c r="J18" s="7"/>
      <c r="K18" s="9">
        <v>0</v>
      </c>
      <c r="L18" s="14">
        <v>0.39400000000000002</v>
      </c>
      <c r="M18" s="29">
        <v>0.39400000000000002</v>
      </c>
      <c r="N18" s="5"/>
      <c r="O18" s="54">
        <f t="shared" si="2"/>
        <v>1</v>
      </c>
    </row>
    <row r="19" spans="1:15" s="3" customFormat="1" ht="80.099999999999994" customHeight="1">
      <c r="A19" s="16">
        <v>9</v>
      </c>
      <c r="B19" s="83" t="s">
        <v>27</v>
      </c>
      <c r="C19" s="39"/>
      <c r="D19" s="32">
        <v>0</v>
      </c>
      <c r="E19" s="97" t="s">
        <v>140</v>
      </c>
      <c r="F19" s="34">
        <v>762.22900000000004</v>
      </c>
      <c r="G19" s="55">
        <f>762.229*1000000</f>
        <v>762229000</v>
      </c>
      <c r="H19" s="5"/>
      <c r="I19" s="93">
        <f t="shared" si="4"/>
        <v>4.0949999999999998</v>
      </c>
      <c r="J19" s="7"/>
      <c r="K19" s="9">
        <v>0</v>
      </c>
      <c r="L19" s="29">
        <v>4.0949999999999998</v>
      </c>
      <c r="M19" s="29">
        <v>4.0949999999999998</v>
      </c>
      <c r="N19" s="5"/>
      <c r="O19" s="54">
        <f t="shared" si="2"/>
        <v>1</v>
      </c>
    </row>
    <row r="20" spans="1:15" s="3" customFormat="1" ht="66.75" customHeight="1">
      <c r="A20" s="17">
        <v>10</v>
      </c>
      <c r="B20" s="83" t="s">
        <v>28</v>
      </c>
      <c r="C20" s="39"/>
      <c r="D20" s="32">
        <v>0</v>
      </c>
      <c r="E20" s="97" t="s">
        <v>141</v>
      </c>
      <c r="F20" s="34">
        <v>930.93299999999999</v>
      </c>
      <c r="G20" s="55">
        <f>930.933*1000000</f>
        <v>930933000</v>
      </c>
      <c r="H20" s="5"/>
      <c r="I20" s="93">
        <f t="shared" si="4"/>
        <v>35.258000000000003</v>
      </c>
      <c r="J20" s="7"/>
      <c r="K20" s="9">
        <v>0</v>
      </c>
      <c r="L20" s="14">
        <v>35.258000000000003</v>
      </c>
      <c r="M20" s="29">
        <v>35.258000000000003</v>
      </c>
      <c r="N20" s="5"/>
      <c r="O20" s="54">
        <f t="shared" si="2"/>
        <v>1</v>
      </c>
    </row>
    <row r="21" spans="1:15" s="3" customFormat="1" ht="80.099999999999994" customHeight="1">
      <c r="A21" s="16">
        <v>11</v>
      </c>
      <c r="B21" s="84" t="s">
        <v>29</v>
      </c>
      <c r="C21" s="19" t="s">
        <v>92</v>
      </c>
      <c r="D21" s="24">
        <v>6600</v>
      </c>
      <c r="E21" s="19" t="s">
        <v>95</v>
      </c>
      <c r="F21" s="34">
        <v>6505.6170000000002</v>
      </c>
      <c r="G21" s="34">
        <v>6505617000</v>
      </c>
      <c r="H21" s="5"/>
      <c r="I21" s="93">
        <f t="shared" si="4"/>
        <v>1019.749</v>
      </c>
      <c r="J21" s="7"/>
      <c r="K21" s="9">
        <v>1019.749</v>
      </c>
      <c r="L21" s="29">
        <v>0</v>
      </c>
      <c r="M21" s="29">
        <v>1019.749</v>
      </c>
      <c r="N21" s="5"/>
      <c r="O21" s="54">
        <f t="shared" si="2"/>
        <v>1</v>
      </c>
    </row>
    <row r="22" spans="1:15" s="3" customFormat="1" ht="66.75" customHeight="1">
      <c r="A22" s="17">
        <v>12</v>
      </c>
      <c r="B22" s="85" t="s">
        <v>30</v>
      </c>
      <c r="C22" s="20" t="s">
        <v>96</v>
      </c>
      <c r="D22" s="24">
        <v>2000</v>
      </c>
      <c r="E22" s="19" t="s">
        <v>97</v>
      </c>
      <c r="F22" s="34">
        <v>1898.1420000000001</v>
      </c>
      <c r="G22" s="34">
        <v>1898142000</v>
      </c>
      <c r="H22" s="5"/>
      <c r="I22" s="93">
        <f t="shared" si="4"/>
        <v>1320</v>
      </c>
      <c r="J22" s="7"/>
      <c r="K22" s="9">
        <v>1320</v>
      </c>
      <c r="L22" s="14">
        <v>0</v>
      </c>
      <c r="M22" s="29">
        <v>1320</v>
      </c>
      <c r="N22" s="5"/>
      <c r="O22" s="54">
        <f t="shared" si="2"/>
        <v>1</v>
      </c>
    </row>
    <row r="23" spans="1:15" s="3" customFormat="1" ht="80.099999999999994" customHeight="1">
      <c r="A23" s="16">
        <v>13</v>
      </c>
      <c r="B23" s="10" t="s">
        <v>31</v>
      </c>
      <c r="C23" s="96" t="s">
        <v>98</v>
      </c>
      <c r="D23" s="24">
        <v>1300</v>
      </c>
      <c r="E23" s="19" t="s">
        <v>99</v>
      </c>
      <c r="F23" s="34">
        <v>1257.8499999999999</v>
      </c>
      <c r="G23" s="34">
        <v>1257850000</v>
      </c>
      <c r="H23" s="5"/>
      <c r="I23" s="93">
        <f t="shared" si="4"/>
        <v>482.55200000000002</v>
      </c>
      <c r="J23" s="7"/>
      <c r="K23" s="9">
        <v>482.55200000000002</v>
      </c>
      <c r="L23" s="29">
        <v>0</v>
      </c>
      <c r="M23" s="29">
        <v>482.55200000000002</v>
      </c>
      <c r="N23" s="5"/>
      <c r="O23" s="54">
        <f t="shared" si="2"/>
        <v>1</v>
      </c>
    </row>
    <row r="24" spans="1:15" s="3" customFormat="1" ht="80.099999999999994" customHeight="1">
      <c r="A24" s="17">
        <v>14</v>
      </c>
      <c r="B24" s="10" t="s">
        <v>32</v>
      </c>
      <c r="C24" s="19" t="s">
        <v>100</v>
      </c>
      <c r="D24" s="24">
        <v>990</v>
      </c>
      <c r="E24" s="100" t="s">
        <v>101</v>
      </c>
      <c r="F24" s="34">
        <v>982</v>
      </c>
      <c r="G24" s="34">
        <v>982000000</v>
      </c>
      <c r="H24" s="5"/>
      <c r="I24" s="93">
        <f t="shared" si="4"/>
        <v>71.253</v>
      </c>
      <c r="J24" s="7"/>
      <c r="K24" s="9">
        <v>0</v>
      </c>
      <c r="L24" s="14">
        <v>71.253</v>
      </c>
      <c r="M24" s="29">
        <v>71.253</v>
      </c>
      <c r="N24" s="5"/>
      <c r="O24" s="54">
        <f t="shared" si="2"/>
        <v>1</v>
      </c>
    </row>
    <row r="25" spans="1:15" s="3" customFormat="1" ht="80.099999999999994" customHeight="1">
      <c r="A25" s="16">
        <v>15</v>
      </c>
      <c r="B25" s="10" t="s">
        <v>33</v>
      </c>
      <c r="C25" s="39"/>
      <c r="D25" s="32">
        <v>0</v>
      </c>
      <c r="E25" s="97" t="s">
        <v>142</v>
      </c>
      <c r="F25" s="34">
        <v>441.48700000000002</v>
      </c>
      <c r="G25" s="55">
        <f>441.487*1000000</f>
        <v>441487000</v>
      </c>
      <c r="H25" s="5"/>
      <c r="I25" s="93">
        <f t="shared" si="4"/>
        <v>19.683371999999999</v>
      </c>
      <c r="J25" s="7"/>
      <c r="K25" s="9">
        <v>0</v>
      </c>
      <c r="L25" s="29">
        <v>19.683371999999999</v>
      </c>
      <c r="M25" s="29">
        <v>19.683371999999999</v>
      </c>
      <c r="N25" s="5"/>
      <c r="O25" s="54">
        <f t="shared" si="2"/>
        <v>1</v>
      </c>
    </row>
    <row r="26" spans="1:15" s="3" customFormat="1" ht="80.099999999999994" customHeight="1">
      <c r="A26" s="17">
        <v>16</v>
      </c>
      <c r="B26" s="10" t="s">
        <v>34</v>
      </c>
      <c r="C26" s="95"/>
      <c r="D26" s="33">
        <v>0</v>
      </c>
      <c r="E26" s="19" t="s">
        <v>102</v>
      </c>
      <c r="F26" s="34">
        <v>1170.482</v>
      </c>
      <c r="G26" s="34">
        <v>1170482000</v>
      </c>
      <c r="H26" s="5"/>
      <c r="I26" s="93">
        <f t="shared" si="4"/>
        <v>493.15600000000001</v>
      </c>
      <c r="J26" s="7"/>
      <c r="K26" s="9">
        <v>493.15600000000001</v>
      </c>
      <c r="L26" s="14">
        <v>0</v>
      </c>
      <c r="M26" s="29">
        <v>493.15600000000001</v>
      </c>
      <c r="N26" s="5"/>
      <c r="O26" s="54">
        <f t="shared" si="2"/>
        <v>1</v>
      </c>
    </row>
    <row r="27" spans="1:15" s="3" customFormat="1" ht="80.099999999999994" customHeight="1">
      <c r="A27" s="16">
        <v>17</v>
      </c>
      <c r="B27" s="86" t="s">
        <v>35</v>
      </c>
      <c r="C27" s="19" t="s">
        <v>103</v>
      </c>
      <c r="D27" s="24">
        <v>1200</v>
      </c>
      <c r="E27" s="19" t="s">
        <v>104</v>
      </c>
      <c r="F27" s="34">
        <v>1179</v>
      </c>
      <c r="G27" s="34">
        <v>1179000000</v>
      </c>
      <c r="H27" s="5"/>
      <c r="I27" s="93">
        <f t="shared" si="4"/>
        <v>317.26900000000001</v>
      </c>
      <c r="J27" s="7"/>
      <c r="K27" s="9">
        <v>317.26900000000001</v>
      </c>
      <c r="L27" s="29">
        <v>0</v>
      </c>
      <c r="M27" s="29">
        <v>317.26900000000001</v>
      </c>
      <c r="N27" s="5"/>
      <c r="O27" s="54">
        <f t="shared" si="2"/>
        <v>1</v>
      </c>
    </row>
    <row r="28" spans="1:15" s="3" customFormat="1" ht="80.099999999999994" customHeight="1">
      <c r="A28" s="17">
        <v>18</v>
      </c>
      <c r="B28" s="86" t="s">
        <v>37</v>
      </c>
      <c r="C28" s="96" t="s">
        <v>105</v>
      </c>
      <c r="D28" s="24">
        <v>606</v>
      </c>
      <c r="E28" s="19" t="s">
        <v>106</v>
      </c>
      <c r="F28" s="34">
        <v>606</v>
      </c>
      <c r="G28" s="34">
        <v>606000000</v>
      </c>
      <c r="H28" s="5"/>
      <c r="I28" s="93">
        <f t="shared" si="4"/>
        <v>295.54000000000002</v>
      </c>
      <c r="J28" s="7"/>
      <c r="K28" s="9">
        <v>295.54000000000002</v>
      </c>
      <c r="L28" s="14">
        <v>0</v>
      </c>
      <c r="M28" s="29">
        <v>295.54000000000002</v>
      </c>
      <c r="N28" s="5"/>
      <c r="O28" s="54">
        <f t="shared" si="2"/>
        <v>1</v>
      </c>
    </row>
    <row r="29" spans="1:15" s="3" customFormat="1" ht="80.099999999999994" customHeight="1">
      <c r="A29" s="16">
        <v>19</v>
      </c>
      <c r="B29" s="86" t="s">
        <v>36</v>
      </c>
      <c r="C29" s="96" t="s">
        <v>107</v>
      </c>
      <c r="D29" s="24">
        <v>984</v>
      </c>
      <c r="E29" s="19" t="s">
        <v>108</v>
      </c>
      <c r="F29" s="34">
        <v>984.46500000000003</v>
      </c>
      <c r="G29" s="34">
        <v>984465000</v>
      </c>
      <c r="H29" s="5"/>
      <c r="I29" s="93">
        <f t="shared" si="4"/>
        <v>391.52600000000001</v>
      </c>
      <c r="J29" s="7"/>
      <c r="K29" s="9">
        <v>391.52600000000001</v>
      </c>
      <c r="L29" s="29">
        <v>0</v>
      </c>
      <c r="M29" s="29">
        <v>391.52600000000001</v>
      </c>
      <c r="N29" s="5"/>
      <c r="O29" s="54">
        <f t="shared" si="2"/>
        <v>1</v>
      </c>
    </row>
    <row r="30" spans="1:15" s="38" customFormat="1" ht="34.5" customHeight="1">
      <c r="A30" s="15"/>
      <c r="B30" s="39" t="s">
        <v>110</v>
      </c>
      <c r="C30" s="39"/>
      <c r="D30" s="62">
        <f>SUM(D31:D46)</f>
        <v>0</v>
      </c>
      <c r="E30" s="39"/>
      <c r="F30" s="71">
        <f>SUM(F31:F46)</f>
        <v>69321.372000000003</v>
      </c>
      <c r="G30" s="41">
        <f>SUM(G31:G46)</f>
        <v>69321372000</v>
      </c>
      <c r="H30" s="40"/>
      <c r="I30" s="94">
        <f>SUM(I31:I46)</f>
        <v>16312.340474000001</v>
      </c>
      <c r="J30" s="37">
        <f t="shared" ref="J30:N30" si="5">SUM(J31:J46)</f>
        <v>0</v>
      </c>
      <c r="K30" s="72">
        <f t="shared" si="5"/>
        <v>15489.670157</v>
      </c>
      <c r="L30" s="48">
        <f t="shared" si="5"/>
        <v>822.67031700000007</v>
      </c>
      <c r="M30" s="73">
        <f t="shared" si="5"/>
        <v>15944.193208999999</v>
      </c>
      <c r="N30" s="37">
        <f t="shared" si="5"/>
        <v>0</v>
      </c>
      <c r="O30" s="42">
        <f t="shared" si="2"/>
        <v>0.9774313645802829</v>
      </c>
    </row>
    <row r="31" spans="1:15" s="3" customFormat="1" ht="80.099999999999994" customHeight="1">
      <c r="A31" s="16">
        <v>1</v>
      </c>
      <c r="B31" s="12" t="s">
        <v>38</v>
      </c>
      <c r="C31" s="97" t="s">
        <v>40</v>
      </c>
      <c r="D31" s="63"/>
      <c r="E31" s="101" t="s">
        <v>41</v>
      </c>
      <c r="F31" s="34">
        <v>1189.9690000000001</v>
      </c>
      <c r="G31" s="64">
        <f>1189.969*1000000</f>
        <v>1189969000</v>
      </c>
      <c r="H31" s="4"/>
      <c r="I31" s="93">
        <f t="shared" si="4"/>
        <v>258.21899999999999</v>
      </c>
      <c r="J31" s="6"/>
      <c r="K31" s="9">
        <v>258.21899999999999</v>
      </c>
      <c r="L31" s="29">
        <v>0</v>
      </c>
      <c r="M31" s="29">
        <v>208.89</v>
      </c>
      <c r="N31" s="4"/>
      <c r="O31" s="54">
        <f t="shared" si="2"/>
        <v>0.80896448363598339</v>
      </c>
    </row>
    <row r="32" spans="1:15" s="3" customFormat="1" ht="80.099999999999994" customHeight="1">
      <c r="A32" s="17">
        <v>2</v>
      </c>
      <c r="B32" s="12" t="s">
        <v>39</v>
      </c>
      <c r="C32" s="97" t="s">
        <v>42</v>
      </c>
      <c r="D32" s="63"/>
      <c r="E32" s="101" t="s">
        <v>43</v>
      </c>
      <c r="F32" s="34">
        <v>1203.0619999999999</v>
      </c>
      <c r="G32" s="64">
        <f>1203.062*1000000</f>
        <v>1203062000</v>
      </c>
      <c r="H32" s="4"/>
      <c r="I32" s="93">
        <f t="shared" si="4"/>
        <v>288.90300000000002</v>
      </c>
      <c r="J32" s="6"/>
      <c r="K32" s="9">
        <v>288.90300000000002</v>
      </c>
      <c r="L32" s="14">
        <v>0</v>
      </c>
      <c r="M32" s="29">
        <v>263.54900000000021</v>
      </c>
      <c r="N32" s="4"/>
      <c r="O32" s="54">
        <f t="shared" si="2"/>
        <v>0.91224044056309617</v>
      </c>
    </row>
    <row r="33" spans="1:15" s="3" customFormat="1" ht="93" customHeight="1">
      <c r="A33" s="16">
        <v>3</v>
      </c>
      <c r="B33" s="12" t="s">
        <v>44</v>
      </c>
      <c r="C33" s="97"/>
      <c r="D33" s="63"/>
      <c r="E33" s="101" t="s">
        <v>47</v>
      </c>
      <c r="F33" s="34">
        <v>5813.3770000000004</v>
      </c>
      <c r="G33" s="64">
        <f>5813.377*1000000</f>
        <v>5813377000</v>
      </c>
      <c r="H33" s="4"/>
      <c r="I33" s="93">
        <f t="shared" si="4"/>
        <v>403.42</v>
      </c>
      <c r="J33" s="6"/>
      <c r="K33" s="9">
        <v>403.42</v>
      </c>
      <c r="L33" s="29">
        <v>0</v>
      </c>
      <c r="M33" s="29">
        <v>240.691</v>
      </c>
      <c r="N33" s="4"/>
      <c r="O33" s="54">
        <f t="shared" si="2"/>
        <v>0.5966263447523672</v>
      </c>
    </row>
    <row r="34" spans="1:15" s="3" customFormat="1" ht="80.099999999999994" customHeight="1">
      <c r="A34" s="17">
        <v>4</v>
      </c>
      <c r="B34" s="12" t="s">
        <v>45</v>
      </c>
      <c r="C34" s="97" t="s">
        <v>48</v>
      </c>
      <c r="D34" s="63"/>
      <c r="E34" s="101" t="s">
        <v>49</v>
      </c>
      <c r="F34" s="34">
        <v>403.21100000000001</v>
      </c>
      <c r="G34" s="64">
        <f>403.211*1000000</f>
        <v>403211000</v>
      </c>
      <c r="H34" s="4"/>
      <c r="I34" s="93">
        <f t="shared" si="4"/>
        <v>118.79600000000001</v>
      </c>
      <c r="J34" s="6"/>
      <c r="K34" s="9">
        <v>118.79600000000001</v>
      </c>
      <c r="L34" s="14">
        <v>0</v>
      </c>
      <c r="M34" s="29">
        <v>110.36199999999999</v>
      </c>
      <c r="N34" s="4"/>
      <c r="O34" s="54">
        <f t="shared" si="2"/>
        <v>0.92900434358059181</v>
      </c>
    </row>
    <row r="35" spans="1:15" s="3" customFormat="1" ht="80.099999999999994" customHeight="1">
      <c r="A35" s="16">
        <v>5</v>
      </c>
      <c r="B35" s="12" t="s">
        <v>46</v>
      </c>
      <c r="C35" s="97" t="s">
        <v>50</v>
      </c>
      <c r="D35" s="63"/>
      <c r="E35" s="101" t="s">
        <v>51</v>
      </c>
      <c r="F35" s="34">
        <v>245.178</v>
      </c>
      <c r="G35" s="64">
        <f>245.178*1000000</f>
        <v>245178000</v>
      </c>
      <c r="H35" s="4"/>
      <c r="I35" s="93">
        <f t="shared" si="4"/>
        <v>242.143</v>
      </c>
      <c r="J35" s="6"/>
      <c r="K35" s="9">
        <v>242.143</v>
      </c>
      <c r="L35" s="29">
        <v>0</v>
      </c>
      <c r="M35" s="29">
        <v>242.143</v>
      </c>
      <c r="N35" s="4"/>
      <c r="O35" s="54">
        <f t="shared" si="2"/>
        <v>1</v>
      </c>
    </row>
    <row r="36" spans="1:15" s="3" customFormat="1" ht="80.099999999999994" customHeight="1">
      <c r="A36" s="17">
        <v>6</v>
      </c>
      <c r="B36" s="12" t="s">
        <v>52</v>
      </c>
      <c r="C36" s="97" t="s">
        <v>53</v>
      </c>
      <c r="D36" s="63"/>
      <c r="E36" s="101" t="s">
        <v>54</v>
      </c>
      <c r="F36" s="34">
        <v>1213.163</v>
      </c>
      <c r="G36" s="64">
        <f>1213.163*1000000</f>
        <v>1213163000</v>
      </c>
      <c r="H36" s="18"/>
      <c r="I36" s="93">
        <f t="shared" si="4"/>
        <v>369.35599999999999</v>
      </c>
      <c r="J36" s="6"/>
      <c r="K36" s="9">
        <v>369.35599999999999</v>
      </c>
      <c r="L36" s="14">
        <v>0</v>
      </c>
      <c r="M36" s="29">
        <v>369.35599999999999</v>
      </c>
      <c r="N36" s="4"/>
      <c r="O36" s="54">
        <f t="shared" si="2"/>
        <v>1</v>
      </c>
    </row>
    <row r="37" spans="1:15" s="3" customFormat="1" ht="80.099999999999994" customHeight="1">
      <c r="A37" s="16">
        <v>7</v>
      </c>
      <c r="B37" s="12" t="s">
        <v>55</v>
      </c>
      <c r="C37" s="97" t="s">
        <v>56</v>
      </c>
      <c r="D37" s="63"/>
      <c r="E37" s="101" t="s">
        <v>57</v>
      </c>
      <c r="F37" s="34">
        <v>4868.2659999999996</v>
      </c>
      <c r="G37" s="64">
        <f>4868.266*1000000</f>
        <v>4868266000</v>
      </c>
      <c r="H37" s="4"/>
      <c r="I37" s="93">
        <f t="shared" si="4"/>
        <v>427.36500000000001</v>
      </c>
      <c r="J37" s="6"/>
      <c r="K37" s="9">
        <v>427.36500000000001</v>
      </c>
      <c r="L37" s="29">
        <v>0</v>
      </c>
      <c r="M37" s="29">
        <v>382.83500000000032</v>
      </c>
      <c r="N37" s="4"/>
      <c r="O37" s="54">
        <f t="shared" si="2"/>
        <v>0.89580335310565984</v>
      </c>
    </row>
    <row r="38" spans="1:15" s="3" customFormat="1" ht="80.099999999999994" customHeight="1">
      <c r="A38" s="17">
        <v>8</v>
      </c>
      <c r="B38" s="12" t="s">
        <v>58</v>
      </c>
      <c r="C38" s="97" t="s">
        <v>61</v>
      </c>
      <c r="D38" s="63"/>
      <c r="E38" s="101" t="s">
        <v>62</v>
      </c>
      <c r="F38" s="34">
        <v>3081.8670000000002</v>
      </c>
      <c r="G38" s="64">
        <f>3081.867*1000000</f>
        <v>3081867000</v>
      </c>
      <c r="H38" s="4"/>
      <c r="I38" s="93">
        <f t="shared" si="4"/>
        <v>152.30600000000001</v>
      </c>
      <c r="J38" s="6"/>
      <c r="K38" s="9">
        <v>152.30600000000001</v>
      </c>
      <c r="L38" s="14">
        <v>0</v>
      </c>
      <c r="M38" s="29">
        <v>139.846</v>
      </c>
      <c r="N38" s="4"/>
      <c r="O38" s="54">
        <f t="shared" si="2"/>
        <v>0.91819101020314364</v>
      </c>
    </row>
    <row r="39" spans="1:15" s="3" customFormat="1" ht="80.099999999999994" customHeight="1">
      <c r="A39" s="16">
        <v>9</v>
      </c>
      <c r="B39" s="12" t="s">
        <v>59</v>
      </c>
      <c r="C39" s="97" t="s">
        <v>63</v>
      </c>
      <c r="D39" s="63"/>
      <c r="E39" s="101" t="s">
        <v>64</v>
      </c>
      <c r="F39" s="34">
        <v>3350.6089999999999</v>
      </c>
      <c r="G39" s="64">
        <f>3350.609*1000000</f>
        <v>3350609000</v>
      </c>
      <c r="H39" s="4"/>
      <c r="I39" s="93">
        <f t="shared" si="4"/>
        <v>287.276974</v>
      </c>
      <c r="J39" s="6"/>
      <c r="K39" s="9">
        <v>287.276974</v>
      </c>
      <c r="L39" s="29">
        <v>0</v>
      </c>
      <c r="M39" s="29">
        <v>287.276974</v>
      </c>
      <c r="N39" s="4"/>
      <c r="O39" s="54">
        <f t="shared" si="2"/>
        <v>1</v>
      </c>
    </row>
    <row r="40" spans="1:15" s="3" customFormat="1" ht="80.099999999999994" customHeight="1">
      <c r="A40" s="17">
        <v>10</v>
      </c>
      <c r="B40" s="12" t="s">
        <v>60</v>
      </c>
      <c r="C40" s="97"/>
      <c r="D40" s="63"/>
      <c r="E40" s="101" t="s">
        <v>65</v>
      </c>
      <c r="F40" s="34">
        <v>2496.6579999999999</v>
      </c>
      <c r="G40" s="64">
        <f>2496.658*1000000</f>
        <v>2496658000</v>
      </c>
      <c r="H40" s="4"/>
      <c r="I40" s="93">
        <f t="shared" si="4"/>
        <v>288.15899999999999</v>
      </c>
      <c r="J40" s="6"/>
      <c r="K40" s="9">
        <v>288.15899999999999</v>
      </c>
      <c r="L40" s="14">
        <v>0</v>
      </c>
      <c r="M40" s="29">
        <v>288.15899999999999</v>
      </c>
      <c r="N40" s="4"/>
      <c r="O40" s="54">
        <f t="shared" si="2"/>
        <v>1</v>
      </c>
    </row>
    <row r="41" spans="1:15" s="3" customFormat="1" ht="80.099999999999994" customHeight="1">
      <c r="A41" s="16">
        <v>11</v>
      </c>
      <c r="B41" s="87" t="s">
        <v>66</v>
      </c>
      <c r="C41" s="97" t="s">
        <v>67</v>
      </c>
      <c r="D41" s="63"/>
      <c r="E41" s="101" t="s">
        <v>68</v>
      </c>
      <c r="F41" s="34">
        <v>11097.286</v>
      </c>
      <c r="G41" s="64">
        <f>11097.286*1000000</f>
        <v>11097286000</v>
      </c>
      <c r="H41" s="18"/>
      <c r="I41" s="93">
        <f t="shared" si="4"/>
        <v>490.94</v>
      </c>
      <c r="J41" s="6"/>
      <c r="K41" s="9">
        <v>490.94</v>
      </c>
      <c r="L41" s="29">
        <v>0</v>
      </c>
      <c r="M41" s="29">
        <v>490.94</v>
      </c>
      <c r="N41" s="4"/>
      <c r="O41" s="54">
        <f t="shared" ref="O41:O60" si="6">M41/I41</f>
        <v>1</v>
      </c>
    </row>
    <row r="42" spans="1:15" s="3" customFormat="1" ht="80.099999999999994" customHeight="1">
      <c r="A42" s="17">
        <v>12</v>
      </c>
      <c r="B42" s="65" t="s">
        <v>69</v>
      </c>
      <c r="C42" s="97" t="s">
        <v>71</v>
      </c>
      <c r="D42" s="63"/>
      <c r="E42" s="101" t="s">
        <v>72</v>
      </c>
      <c r="F42" s="34">
        <v>1205.1179999999999</v>
      </c>
      <c r="G42" s="64">
        <f>1205.118*1000000</f>
        <v>1205118000</v>
      </c>
      <c r="H42" s="4"/>
      <c r="I42" s="93">
        <f t="shared" si="4"/>
        <v>348.00200000000001</v>
      </c>
      <c r="J42" s="6"/>
      <c r="K42" s="9">
        <v>348.00200000000001</v>
      </c>
      <c r="L42" s="14">
        <v>0</v>
      </c>
      <c r="M42" s="29">
        <v>348.00200000000001</v>
      </c>
      <c r="N42" s="4"/>
      <c r="O42" s="54">
        <f t="shared" si="6"/>
        <v>1</v>
      </c>
    </row>
    <row r="43" spans="1:15" s="3" customFormat="1" ht="80.099999999999994" customHeight="1">
      <c r="A43" s="16">
        <v>13</v>
      </c>
      <c r="B43" s="88" t="s">
        <v>70</v>
      </c>
      <c r="C43" s="98"/>
      <c r="D43" s="63"/>
      <c r="E43" s="101" t="s">
        <v>73</v>
      </c>
      <c r="F43" s="34">
        <v>14985.986999999999</v>
      </c>
      <c r="G43" s="64">
        <f>14985.987*1000000</f>
        <v>14985987000</v>
      </c>
      <c r="H43" s="4"/>
      <c r="I43" s="93">
        <f t="shared" si="4"/>
        <v>4676</v>
      </c>
      <c r="J43" s="6"/>
      <c r="K43" s="9">
        <v>4107.0821830000004</v>
      </c>
      <c r="L43" s="29">
        <v>568.91781700000001</v>
      </c>
      <c r="M43" s="29">
        <v>4676</v>
      </c>
      <c r="N43" s="4"/>
      <c r="O43" s="54">
        <f t="shared" si="6"/>
        <v>1</v>
      </c>
    </row>
    <row r="44" spans="1:15" s="3" customFormat="1" ht="80.099999999999994" customHeight="1">
      <c r="A44" s="17">
        <v>14</v>
      </c>
      <c r="B44" s="89" t="s">
        <v>74</v>
      </c>
      <c r="C44" s="97" t="s">
        <v>75</v>
      </c>
      <c r="D44" s="63"/>
      <c r="E44" s="101" t="s">
        <v>76</v>
      </c>
      <c r="F44" s="34">
        <v>6788</v>
      </c>
      <c r="G44" s="64">
        <f>6788*1000000</f>
        <v>6788000000</v>
      </c>
      <c r="H44" s="4"/>
      <c r="I44" s="93">
        <f t="shared" si="4"/>
        <v>6068</v>
      </c>
      <c r="J44" s="6"/>
      <c r="K44" s="9">
        <v>6068</v>
      </c>
      <c r="L44" s="14">
        <v>0</v>
      </c>
      <c r="M44" s="29">
        <v>6042.36</v>
      </c>
      <c r="N44" s="4"/>
      <c r="O44" s="54">
        <f t="shared" si="6"/>
        <v>0.99577455504284762</v>
      </c>
    </row>
    <row r="45" spans="1:15" s="3" customFormat="1" ht="80.099999999999994" customHeight="1">
      <c r="A45" s="16">
        <v>15</v>
      </c>
      <c r="B45" s="90" t="s">
        <v>77</v>
      </c>
      <c r="C45" s="99"/>
      <c r="D45" s="66"/>
      <c r="E45" s="99" t="s">
        <v>78</v>
      </c>
      <c r="F45" s="34">
        <v>8385.9279999999999</v>
      </c>
      <c r="G45" s="64">
        <f>8385.928*1000000</f>
        <v>8385928000</v>
      </c>
      <c r="H45" s="64">
        <v>2702.0900999999999</v>
      </c>
      <c r="I45" s="93">
        <f t="shared" si="4"/>
        <v>1639.702</v>
      </c>
      <c r="J45" s="6"/>
      <c r="K45" s="9">
        <v>1639.702</v>
      </c>
      <c r="L45" s="29">
        <v>0</v>
      </c>
      <c r="M45" s="29">
        <v>1639.702</v>
      </c>
      <c r="N45" s="4"/>
      <c r="O45" s="54">
        <f t="shared" si="6"/>
        <v>1</v>
      </c>
    </row>
    <row r="46" spans="1:15" s="3" customFormat="1" ht="111" customHeight="1">
      <c r="A46" s="17">
        <v>16</v>
      </c>
      <c r="B46" s="85" t="s">
        <v>79</v>
      </c>
      <c r="C46" s="98"/>
      <c r="D46" s="63"/>
      <c r="E46" s="101" t="s">
        <v>80</v>
      </c>
      <c r="F46" s="34">
        <v>2993.6930000000002</v>
      </c>
      <c r="G46" s="64">
        <f>2993.693*1000000</f>
        <v>2993693000</v>
      </c>
      <c r="H46" s="18"/>
      <c r="I46" s="29">
        <v>253.7525</v>
      </c>
      <c r="J46" s="6"/>
      <c r="K46" s="9">
        <v>0</v>
      </c>
      <c r="L46" s="29">
        <v>253.7525</v>
      </c>
      <c r="M46" s="29">
        <f>I46-39.671265</f>
        <v>214.08123499999999</v>
      </c>
      <c r="N46" s="4"/>
      <c r="O46" s="54">
        <f t="shared" si="6"/>
        <v>0.84366157968887001</v>
      </c>
    </row>
    <row r="47" spans="1:15" s="38" customFormat="1" ht="44.25" customHeight="1">
      <c r="A47" s="15"/>
      <c r="B47" s="39" t="s">
        <v>145</v>
      </c>
      <c r="C47" s="67"/>
      <c r="D47" s="68">
        <f>SUM(D48:D60)</f>
        <v>39710.637999999999</v>
      </c>
      <c r="E47" s="69"/>
      <c r="F47" s="71">
        <f t="shared" ref="F47:N47" si="7">SUM(F48:F60)</f>
        <v>47493.2186</v>
      </c>
      <c r="G47" s="70">
        <f t="shared" si="7"/>
        <v>46325617000</v>
      </c>
      <c r="H47" s="69">
        <f t="shared" si="7"/>
        <v>0</v>
      </c>
      <c r="I47" s="94">
        <f t="shared" si="7"/>
        <v>18907.668684000004</v>
      </c>
      <c r="J47" s="37">
        <f t="shared" si="7"/>
        <v>0</v>
      </c>
      <c r="K47" s="72">
        <f t="shared" si="7"/>
        <v>17319.451252000003</v>
      </c>
      <c r="L47" s="73">
        <f t="shared" si="7"/>
        <v>1588.2174319999999</v>
      </c>
      <c r="M47" s="73">
        <f t="shared" si="7"/>
        <v>17674.179366</v>
      </c>
      <c r="N47" s="37">
        <f t="shared" si="7"/>
        <v>0</v>
      </c>
      <c r="O47" s="42">
        <f t="shared" si="6"/>
        <v>0.93476248507338167</v>
      </c>
    </row>
    <row r="48" spans="1:15" s="3" customFormat="1" ht="80.099999999999994" customHeight="1">
      <c r="A48" s="16">
        <v>1</v>
      </c>
      <c r="B48" s="83" t="s">
        <v>81</v>
      </c>
      <c r="C48" s="19" t="s">
        <v>121</v>
      </c>
      <c r="D48" s="34">
        <f>4097.853</f>
        <v>4097.8530000000001</v>
      </c>
      <c r="E48" s="19" t="s">
        <v>122</v>
      </c>
      <c r="F48" s="34">
        <v>4098</v>
      </c>
      <c r="G48" s="34">
        <f>4098*1000000</f>
        <v>4098000000</v>
      </c>
      <c r="H48" s="5"/>
      <c r="I48" s="93">
        <f t="shared" si="4"/>
        <v>345</v>
      </c>
      <c r="J48" s="30"/>
      <c r="K48" s="9">
        <v>345</v>
      </c>
      <c r="L48" s="14">
        <v>0</v>
      </c>
      <c r="M48" s="29">
        <v>344.97300000000001</v>
      </c>
      <c r="N48" s="5"/>
      <c r="O48" s="54">
        <f t="shared" si="6"/>
        <v>0.99992173913043481</v>
      </c>
    </row>
    <row r="49" spans="1:17" s="3" customFormat="1" ht="80.099999999999994" customHeight="1">
      <c r="A49" s="17">
        <v>2</v>
      </c>
      <c r="B49" s="83" t="s">
        <v>82</v>
      </c>
      <c r="C49" s="19" t="s">
        <v>123</v>
      </c>
      <c r="D49" s="34">
        <f>4800</f>
        <v>4800</v>
      </c>
      <c r="E49" s="100" t="s">
        <v>124</v>
      </c>
      <c r="F49" s="34">
        <v>4722</v>
      </c>
      <c r="G49" s="34">
        <f>4722*1000000</f>
        <v>4722000000</v>
      </c>
      <c r="H49" s="5"/>
      <c r="I49" s="93">
        <f t="shared" si="4"/>
        <v>590</v>
      </c>
      <c r="J49" s="30"/>
      <c r="K49" s="9">
        <v>590</v>
      </c>
      <c r="L49" s="29">
        <v>0</v>
      </c>
      <c r="M49" s="29">
        <v>590</v>
      </c>
      <c r="N49" s="5"/>
      <c r="O49" s="54">
        <f t="shared" si="6"/>
        <v>1</v>
      </c>
    </row>
    <row r="50" spans="1:17" s="3" customFormat="1" ht="80.099999999999994" customHeight="1">
      <c r="A50" s="16">
        <v>3</v>
      </c>
      <c r="B50" s="83" t="s">
        <v>111</v>
      </c>
      <c r="C50" s="19" t="s">
        <v>125</v>
      </c>
      <c r="D50" s="34">
        <f>1500</f>
        <v>1500</v>
      </c>
      <c r="E50" s="100" t="s">
        <v>126</v>
      </c>
      <c r="F50" s="34">
        <v>1200</v>
      </c>
      <c r="G50" s="34">
        <f>1200*1000000</f>
        <v>1200000000</v>
      </c>
      <c r="H50" s="5"/>
      <c r="I50" s="93">
        <f t="shared" si="4"/>
        <v>230.050262</v>
      </c>
      <c r="J50" s="30"/>
      <c r="K50" s="9">
        <v>230.050262</v>
      </c>
      <c r="L50" s="14">
        <v>0</v>
      </c>
      <c r="M50" s="29">
        <v>230.036</v>
      </c>
      <c r="N50" s="5"/>
      <c r="O50" s="54">
        <f t="shared" si="6"/>
        <v>0.99993800485217443</v>
      </c>
    </row>
    <row r="51" spans="1:17" s="3" customFormat="1" ht="80.099999999999994" customHeight="1">
      <c r="A51" s="17">
        <v>4</v>
      </c>
      <c r="B51" s="83" t="s">
        <v>112</v>
      </c>
      <c r="C51" s="19" t="s">
        <v>127</v>
      </c>
      <c r="D51" s="34">
        <f>681</f>
        <v>681</v>
      </c>
      <c r="E51" s="19" t="s">
        <v>127</v>
      </c>
      <c r="F51" s="34">
        <v>680</v>
      </c>
      <c r="G51" s="34">
        <f>680*1000000</f>
        <v>680000000</v>
      </c>
      <c r="H51" s="5"/>
      <c r="I51" s="93">
        <f t="shared" si="4"/>
        <v>144</v>
      </c>
      <c r="J51" s="30"/>
      <c r="K51" s="9">
        <v>144</v>
      </c>
      <c r="L51" s="29">
        <v>0</v>
      </c>
      <c r="M51" s="29">
        <v>120.6</v>
      </c>
      <c r="N51" s="5"/>
      <c r="O51" s="54">
        <f t="shared" si="6"/>
        <v>0.83749999999999991</v>
      </c>
    </row>
    <row r="52" spans="1:17" s="3" customFormat="1" ht="80.099999999999994" customHeight="1">
      <c r="A52" s="16">
        <v>5</v>
      </c>
      <c r="B52" s="83" t="s">
        <v>113</v>
      </c>
      <c r="C52" s="19" t="s">
        <v>125</v>
      </c>
      <c r="D52" s="34">
        <f>15000</f>
        <v>15000</v>
      </c>
      <c r="E52" s="100" t="s">
        <v>128</v>
      </c>
      <c r="F52" s="34">
        <v>14998.397999999999</v>
      </c>
      <c r="G52" s="34">
        <f>14998.398*1000000</f>
        <v>14998398000</v>
      </c>
      <c r="H52" s="5"/>
      <c r="I52" s="93">
        <f t="shared" si="4"/>
        <v>12885.941757000001</v>
      </c>
      <c r="J52" s="30"/>
      <c r="K52" s="9">
        <v>12772.408825</v>
      </c>
      <c r="L52" s="14">
        <v>113.532932</v>
      </c>
      <c r="M52" s="29">
        <f>K52-0.005757+L52</f>
        <v>12885.936</v>
      </c>
      <c r="N52" s="5"/>
      <c r="O52" s="54">
        <f t="shared" si="6"/>
        <v>0.99999955323405076</v>
      </c>
    </row>
    <row r="53" spans="1:17" s="3" customFormat="1" ht="115.5" customHeight="1">
      <c r="A53" s="17">
        <v>6</v>
      </c>
      <c r="B53" s="83" t="s">
        <v>114</v>
      </c>
      <c r="C53" s="19"/>
      <c r="D53" s="35"/>
      <c r="E53" s="19" t="s">
        <v>129</v>
      </c>
      <c r="F53" s="34">
        <v>148</v>
      </c>
      <c r="G53" s="34">
        <f>148*1000000</f>
        <v>148000000</v>
      </c>
      <c r="H53" s="5"/>
      <c r="I53" s="93">
        <f t="shared" si="4"/>
        <v>148</v>
      </c>
      <c r="J53" s="30"/>
      <c r="K53" s="9">
        <v>148</v>
      </c>
      <c r="L53" s="29">
        <v>0</v>
      </c>
      <c r="M53" s="29">
        <v>147.70500000000001</v>
      </c>
      <c r="N53" s="5"/>
      <c r="O53" s="54">
        <f t="shared" si="6"/>
        <v>0.99800675675675687</v>
      </c>
    </row>
    <row r="54" spans="1:17" s="3" customFormat="1" ht="80.099999999999994" customHeight="1">
      <c r="A54" s="16">
        <v>7</v>
      </c>
      <c r="B54" s="83" t="s">
        <v>132</v>
      </c>
      <c r="C54" s="19" t="s">
        <v>130</v>
      </c>
      <c r="D54" s="34">
        <f>1147.7</f>
        <v>1147.7</v>
      </c>
      <c r="E54" s="19" t="s">
        <v>131</v>
      </c>
      <c r="F54" s="34">
        <v>1175</v>
      </c>
      <c r="G54" s="34">
        <f>1175*1000000</f>
        <v>1175000000</v>
      </c>
      <c r="H54" s="5"/>
      <c r="I54" s="93">
        <f t="shared" si="4"/>
        <v>365</v>
      </c>
      <c r="J54" s="30"/>
      <c r="K54" s="9">
        <v>365</v>
      </c>
      <c r="L54" s="14">
        <v>0</v>
      </c>
      <c r="M54" s="29">
        <v>365</v>
      </c>
      <c r="N54" s="5"/>
      <c r="O54" s="54">
        <f t="shared" si="6"/>
        <v>1</v>
      </c>
    </row>
    <row r="55" spans="1:17" s="3" customFormat="1" ht="80.099999999999994" customHeight="1">
      <c r="A55" s="17">
        <v>8</v>
      </c>
      <c r="B55" s="83" t="s">
        <v>115</v>
      </c>
      <c r="C55" s="19" t="s">
        <v>125</v>
      </c>
      <c r="D55" s="34">
        <f>1500</f>
        <v>1500</v>
      </c>
      <c r="E55" s="100" t="s">
        <v>133</v>
      </c>
      <c r="F55" s="34">
        <v>1200</v>
      </c>
      <c r="G55" s="34">
        <f>1200*1000000</f>
        <v>1200000000</v>
      </c>
      <c r="H55" s="5"/>
      <c r="I55" s="93">
        <f t="shared" si="4"/>
        <v>291.14979899999997</v>
      </c>
      <c r="J55" s="30"/>
      <c r="K55" s="9">
        <v>291.14979899999997</v>
      </c>
      <c r="L55" s="29">
        <v>0</v>
      </c>
      <c r="M55" s="29">
        <v>291.13200000000001</v>
      </c>
      <c r="N55" s="5"/>
      <c r="O55" s="54">
        <f t="shared" si="6"/>
        <v>0.99993886652142261</v>
      </c>
    </row>
    <row r="56" spans="1:17" s="3" customFormat="1" ht="80.099999999999994" customHeight="1">
      <c r="A56" s="16">
        <v>9</v>
      </c>
      <c r="B56" s="83" t="s">
        <v>116</v>
      </c>
      <c r="C56" s="19" t="s">
        <v>134</v>
      </c>
      <c r="D56" s="34">
        <f>984.085</f>
        <v>984.08500000000004</v>
      </c>
      <c r="E56" s="102" t="s">
        <v>135</v>
      </c>
      <c r="F56" s="34">
        <v>984</v>
      </c>
      <c r="G56" s="34">
        <f>984*1000000</f>
        <v>984000000</v>
      </c>
      <c r="H56" s="5"/>
      <c r="I56" s="93">
        <f t="shared" si="4"/>
        <v>250.404</v>
      </c>
      <c r="J56" s="30"/>
      <c r="K56" s="9">
        <v>250.404</v>
      </c>
      <c r="L56" s="14">
        <v>0</v>
      </c>
      <c r="M56" s="29">
        <v>250.404</v>
      </c>
      <c r="N56" s="5"/>
      <c r="O56" s="54">
        <f t="shared" si="6"/>
        <v>1</v>
      </c>
    </row>
    <row r="57" spans="1:17" s="3" customFormat="1" ht="80.099999999999994" customHeight="1">
      <c r="A57" s="17">
        <v>10</v>
      </c>
      <c r="B57" s="83" t="s">
        <v>117</v>
      </c>
      <c r="C57" s="19"/>
      <c r="D57" s="35"/>
      <c r="E57" s="19" t="s">
        <v>136</v>
      </c>
      <c r="F57" s="34">
        <v>1274</v>
      </c>
      <c r="G57" s="34">
        <f>1274*1000000</f>
        <v>1274000000</v>
      </c>
      <c r="H57" s="5"/>
      <c r="I57" s="93">
        <f t="shared" si="4"/>
        <v>132</v>
      </c>
      <c r="J57" s="30"/>
      <c r="K57" s="9">
        <v>132</v>
      </c>
      <c r="L57" s="29">
        <v>0</v>
      </c>
      <c r="M57" s="29">
        <v>131.83000000000001</v>
      </c>
      <c r="N57" s="5"/>
      <c r="O57" s="54">
        <f t="shared" si="6"/>
        <v>0.99871212121212127</v>
      </c>
    </row>
    <row r="58" spans="1:17" s="3" customFormat="1" ht="100.5" customHeight="1">
      <c r="A58" s="16">
        <v>11</v>
      </c>
      <c r="B58" s="83" t="s">
        <v>118</v>
      </c>
      <c r="C58" s="19" t="s">
        <v>123</v>
      </c>
      <c r="D58" s="34">
        <f>10000</f>
        <v>10000</v>
      </c>
      <c r="E58" s="100" t="s">
        <v>137</v>
      </c>
      <c r="F58" s="34">
        <v>9452</v>
      </c>
      <c r="G58" s="34">
        <f>9452*1000000</f>
        <v>9452000000</v>
      </c>
      <c r="H58" s="5"/>
      <c r="I58" s="93">
        <f t="shared" si="4"/>
        <v>2051.4383659999999</v>
      </c>
      <c r="J58" s="30"/>
      <c r="K58" s="9">
        <v>2051.4383659999999</v>
      </c>
      <c r="L58" s="14">
        <v>0</v>
      </c>
      <c r="M58" s="29">
        <v>2051.4383659999999</v>
      </c>
      <c r="N58" s="5"/>
      <c r="O58" s="54">
        <f t="shared" si="6"/>
        <v>1</v>
      </c>
    </row>
    <row r="59" spans="1:17" s="3" customFormat="1" ht="140.25" customHeight="1">
      <c r="A59" s="17">
        <v>12</v>
      </c>
      <c r="B59" s="80" t="s">
        <v>119</v>
      </c>
      <c r="C59" s="39"/>
      <c r="D59" s="36"/>
      <c r="E59" s="101" t="s">
        <v>120</v>
      </c>
      <c r="F59" s="34">
        <v>6394.2190000000001</v>
      </c>
      <c r="G59" s="28">
        <v>6394219000</v>
      </c>
      <c r="H59" s="5"/>
      <c r="I59" s="93">
        <f t="shared" si="4"/>
        <v>808.47673899999995</v>
      </c>
      <c r="J59" s="30"/>
      <c r="K59" s="9">
        <v>0</v>
      </c>
      <c r="L59" s="29">
        <f>265.125+38.9375+504.414239</f>
        <v>808.47673899999995</v>
      </c>
      <c r="M59" s="29">
        <v>265.125</v>
      </c>
      <c r="N59" s="5"/>
      <c r="O59" s="54">
        <f t="shared" si="6"/>
        <v>0.32793151269624843</v>
      </c>
    </row>
    <row r="60" spans="1:17" ht="85.5" customHeight="1">
      <c r="A60" s="17">
        <v>13</v>
      </c>
      <c r="B60" s="80" t="s">
        <v>143</v>
      </c>
      <c r="C60" s="80"/>
      <c r="D60" s="104"/>
      <c r="E60" s="101" t="s">
        <v>144</v>
      </c>
      <c r="F60" s="34">
        <v>1167.6016</v>
      </c>
      <c r="G60" s="28"/>
      <c r="H60" s="7"/>
      <c r="I60" s="93">
        <f t="shared" si="4"/>
        <v>666.207761</v>
      </c>
      <c r="J60" s="30"/>
      <c r="K60" s="9"/>
      <c r="L60" s="13">
        <v>666.207761</v>
      </c>
      <c r="M60" s="29">
        <v>0</v>
      </c>
      <c r="N60" s="7"/>
      <c r="O60" s="54">
        <f t="shared" si="6"/>
        <v>0</v>
      </c>
    </row>
    <row r="61" spans="1:17" s="3" customFormat="1" ht="50.25" customHeight="1">
      <c r="A61" s="57" t="s">
        <v>7</v>
      </c>
      <c r="B61" s="39" t="s">
        <v>8</v>
      </c>
      <c r="C61" s="39"/>
      <c r="D61" s="22"/>
      <c r="E61" s="39"/>
      <c r="F61" s="103"/>
      <c r="G61" s="27"/>
      <c r="H61" s="4"/>
      <c r="I61" s="92"/>
      <c r="J61" s="6"/>
      <c r="K61" s="26"/>
      <c r="L61" s="26"/>
      <c r="M61" s="25"/>
      <c r="N61" s="4"/>
      <c r="O61" s="6"/>
      <c r="P61" s="107"/>
      <c r="Q61" s="108"/>
    </row>
    <row r="62" spans="1:17" ht="30" customHeight="1">
      <c r="A62" s="57"/>
      <c r="B62" s="80" t="s">
        <v>14</v>
      </c>
      <c r="C62" s="80"/>
      <c r="D62" s="23"/>
      <c r="E62" s="80"/>
      <c r="F62" s="92"/>
      <c r="G62" s="26"/>
      <c r="H62" s="6"/>
      <c r="I62" s="92"/>
      <c r="J62" s="6"/>
      <c r="K62" s="26"/>
      <c r="L62" s="26"/>
      <c r="M62" s="30"/>
      <c r="N62" s="6"/>
      <c r="O62" s="6"/>
      <c r="P62" s="107"/>
      <c r="Q62" s="109"/>
    </row>
    <row r="64" spans="1:17">
      <c r="Q64" s="110"/>
    </row>
    <row r="66" spans="16:16" ht="18.75">
      <c r="P66" s="107"/>
    </row>
    <row r="67" spans="16:16" ht="18.75">
      <c r="P67" s="107"/>
    </row>
    <row r="68" spans="16:16">
      <c r="P68" s="110"/>
    </row>
  </sheetData>
  <mergeCells count="17">
    <mergeCell ref="M4:O6"/>
    <mergeCell ref="G6:G7"/>
    <mergeCell ref="A1:L1"/>
    <mergeCell ref="F6:F7"/>
    <mergeCell ref="J5:L6"/>
    <mergeCell ref="I5:I7"/>
    <mergeCell ref="A2:O2"/>
    <mergeCell ref="F5:H5"/>
    <mergeCell ref="A4:A7"/>
    <mergeCell ref="B4:B7"/>
    <mergeCell ref="C4:D4"/>
    <mergeCell ref="I4:L4"/>
    <mergeCell ref="H6:H7"/>
    <mergeCell ref="E4:H4"/>
    <mergeCell ref="E5:E7"/>
    <mergeCell ref="D5:D7"/>
    <mergeCell ref="C5:C7"/>
  </mergeCells>
  <pageMargins left="0" right="0" top="0" bottom="0" header="0" footer="0"/>
  <pageSetup paperSize="9" scale="59"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PL01</vt:lpstr>
      <vt:lpstr>'PL01'!Print_Area</vt:lpstr>
      <vt:lpstr>'PL01'!Print_Titles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ASUS</cp:lastModifiedBy>
  <cp:lastPrinted>2025-11-23T02:45:28Z</cp:lastPrinted>
  <dcterms:created xsi:type="dcterms:W3CDTF">2025-07-04T02:55:41Z</dcterms:created>
  <dcterms:modified xsi:type="dcterms:W3CDTF">2025-12-03T03:20:41Z</dcterms:modified>
</cp:coreProperties>
</file>