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Du lieu o D\Hương 2025HP\CSKB 25\ĐA phí lệ phí\Đề án chuẩn\ĐA trình UB lần 2\"/>
    </mc:Choice>
  </mc:AlternateContent>
  <bookViews>
    <workbookView xWindow="-120" yWindow="-120" windowWidth="20730" windowHeight="11160" firstSheet="3" activeTab="13"/>
  </bookViews>
  <sheets>
    <sheet name="Bieu 01 " sheetId="15" r:id="rId1"/>
    <sheet name="Bieu 02" sheetId="25" r:id="rId2"/>
    <sheet name="Bieu 03" sheetId="17" r:id="rId3"/>
    <sheet name="Bieu 03.1" sheetId="48" r:id="rId4"/>
    <sheet name="Bieu 04" sheetId="24" r:id="rId5"/>
    <sheet name="Bieu 05" sheetId="6" r:id="rId6"/>
    <sheet name="Bieu 05.1" sheetId="19" r:id="rId7"/>
    <sheet name="Bieu 6" sheetId="21" r:id="rId8"/>
    <sheet name="Bieu 7" sheetId="26" r:id="rId9"/>
    <sheet name="Bieu 8" sheetId="28" r:id="rId10"/>
    <sheet name="Bieu 9" sheetId="29" r:id="rId11"/>
    <sheet name="Bieu 10" sheetId="30" r:id="rId12"/>
    <sheet name="Bieu 11" sheetId="31" r:id="rId13"/>
    <sheet name="Bieu 12" sheetId="32" r:id="rId14"/>
    <sheet name="Bieu 13" sheetId="33" r:id="rId15"/>
    <sheet name="Bieu 14" sheetId="34" r:id="rId16"/>
    <sheet name="Bieu 15" sheetId="35" r:id="rId17"/>
    <sheet name="Bieu 15.1" sheetId="37" r:id="rId18"/>
    <sheet name="Bieu 15.2" sheetId="38" r:id="rId19"/>
    <sheet name="Bieu 16" sheetId="40" r:id="rId20"/>
    <sheet name="Bieu 16.1" sheetId="41" r:id="rId21"/>
    <sheet name="Bieu 16.2" sheetId="42" r:id="rId22"/>
    <sheet name="Bieu 16.3" sheetId="43" r:id="rId23"/>
    <sheet name="Bieu 16.4" sheetId="44" r:id="rId24"/>
    <sheet name="Bieu 17" sheetId="45" r:id="rId25"/>
    <sheet name="Bieu 18" sheetId="46" r:id="rId26"/>
    <sheet name="Bieu 19" sheetId="47" r:id="rId27"/>
  </sheets>
  <externalReferences>
    <externalReference r:id="rId28"/>
    <externalReference r:id="rId29"/>
    <externalReference r:id="rId30"/>
    <externalReference r:id="rId31"/>
    <externalReference r:id="rId32"/>
    <externalReference r:id="rId33"/>
    <externalReference r:id="rId34"/>
    <externalReference r:id="rId35"/>
  </externalReferences>
  <definedNames>
    <definedName name="_1_0DATA_DATA2_L" localSheetId="1">'[1]#REF'!#REF!</definedName>
    <definedName name="_1_0DATA_DATA2_L" localSheetId="3">'[1]#REF'!#REF!</definedName>
    <definedName name="_1_0DATA_DATA2_L" localSheetId="6">'[1]#REF'!#REF!</definedName>
    <definedName name="_1_0DATA_DATA2_L" localSheetId="15">'[1]#REF'!#REF!</definedName>
    <definedName name="_1_0DATA_DATA2_L" localSheetId="16">'[1]#REF'!#REF!</definedName>
    <definedName name="_1_0DATA_DATA2_L" localSheetId="19">'[1]#REF'!#REF!</definedName>
    <definedName name="_1_0DATA_DATA2_L" localSheetId="23">'[1]#REF'!#REF!</definedName>
    <definedName name="_1_0DATA_DATA2_L" localSheetId="8">'[1]#REF'!#REF!</definedName>
    <definedName name="_1_0DATA_DATA2_L">'[1]#REF'!#REF!</definedName>
    <definedName name="_2DATA_DATA2_L" localSheetId="3">'[1]#REF'!#REF!</definedName>
    <definedName name="_2DATA_DATA2_L" localSheetId="6">'[1]#REF'!#REF!</definedName>
    <definedName name="_2DATA_DATA2_L" localSheetId="8">'[1]#REF'!#REF!</definedName>
    <definedName name="_2DATA_DATA2_L">'[1]#REF'!#REF!</definedName>
    <definedName name="_40x4">5100</definedName>
    <definedName name="_a1" localSheetId="1" hidden="1">{"'Sheet1'!$L$16"}</definedName>
    <definedName name="_a1" localSheetId="2" hidden="1">{"'Sheet1'!$L$16"}</definedName>
    <definedName name="_a1" localSheetId="3" hidden="1">{"'Sheet1'!$L$16"}</definedName>
    <definedName name="_a1" localSheetId="4" hidden="1">{"'Sheet1'!$L$16"}</definedName>
    <definedName name="_a1" localSheetId="6" hidden="1">{"'Sheet1'!$L$16"}</definedName>
    <definedName name="_a1" localSheetId="15" hidden="1">{"'Sheet1'!$L$16"}</definedName>
    <definedName name="_a1" localSheetId="16" hidden="1">{"'Sheet1'!$L$16"}</definedName>
    <definedName name="_a1" localSheetId="19" hidden="1">{"'Sheet1'!$L$16"}</definedName>
    <definedName name="_a1" localSheetId="23" hidden="1">{"'Sheet1'!$L$16"}</definedName>
    <definedName name="_a1" localSheetId="8" hidden="1">{"'Sheet1'!$L$16"}</definedName>
    <definedName name="_a1" hidden="1">{"'Sheet1'!$L$16"}</definedName>
    <definedName name="_CT250" localSheetId="8">'[2]dongia (2)'!#REF!</definedName>
    <definedName name="_CT250">'[2]dongia (2)'!#REF!</definedName>
    <definedName name="_xlnm._FilterDatabase" localSheetId="5" hidden="1">'Bieu 05'!$A$4:$G$4</definedName>
    <definedName name="_h1" localSheetId="1" hidden="1">{"'Sheet1'!$L$16"}</definedName>
    <definedName name="_h1" localSheetId="2" hidden="1">{"'Sheet1'!$L$16"}</definedName>
    <definedName name="_h1" localSheetId="3" hidden="1">{"'Sheet1'!$L$16"}</definedName>
    <definedName name="_h1" localSheetId="4" hidden="1">{"'Sheet1'!$L$16"}</definedName>
    <definedName name="_h1" localSheetId="6" hidden="1">{"'Sheet1'!$L$16"}</definedName>
    <definedName name="_h1" localSheetId="15" hidden="1">{"'Sheet1'!$L$16"}</definedName>
    <definedName name="_h1" localSheetId="16" hidden="1">{"'Sheet1'!$L$16"}</definedName>
    <definedName name="_h1" localSheetId="19" hidden="1">{"'Sheet1'!$L$16"}</definedName>
    <definedName name="_h1" localSheetId="23" hidden="1">{"'Sheet1'!$L$16"}</definedName>
    <definedName name="_h1" localSheetId="8" hidden="1">{"'Sheet1'!$L$16"}</definedName>
    <definedName name="_h1" hidden="1">{"'Sheet1'!$L$16"}</definedName>
    <definedName name="_h10" localSheetId="1" hidden="1">{#N/A,#N/A,FALSE,"Chi tiÆt"}</definedName>
    <definedName name="_h10" localSheetId="2" hidden="1">{#N/A,#N/A,FALSE,"Chi tiÆt"}</definedName>
    <definedName name="_h10" localSheetId="3" hidden="1">{#N/A,#N/A,FALSE,"Chi tiÆt"}</definedName>
    <definedName name="_h10" localSheetId="4" hidden="1">{#N/A,#N/A,FALSE,"Chi tiÆt"}</definedName>
    <definedName name="_h10" localSheetId="6" hidden="1">{#N/A,#N/A,FALSE,"Chi tiÆt"}</definedName>
    <definedName name="_h10" localSheetId="15" hidden="1">{#N/A,#N/A,FALSE,"Chi tiÆt"}</definedName>
    <definedName name="_h10" localSheetId="16" hidden="1">{#N/A,#N/A,FALSE,"Chi tiÆt"}</definedName>
    <definedName name="_h10" localSheetId="19" hidden="1">{#N/A,#N/A,FALSE,"Chi tiÆt"}</definedName>
    <definedName name="_h10" localSheetId="23" hidden="1">{#N/A,#N/A,FALSE,"Chi tiÆt"}</definedName>
    <definedName name="_h10" localSheetId="8" hidden="1">{#N/A,#N/A,FALSE,"Chi tiÆt"}</definedName>
    <definedName name="_h10" hidden="1">{#N/A,#N/A,FALSE,"Chi tiÆt"}</definedName>
    <definedName name="_h2" localSheetId="1" hidden="1">{"'Sheet1'!$L$16"}</definedName>
    <definedName name="_h2" localSheetId="2" hidden="1">{"'Sheet1'!$L$16"}</definedName>
    <definedName name="_h2" localSheetId="3" hidden="1">{"'Sheet1'!$L$16"}</definedName>
    <definedName name="_h2" localSheetId="4" hidden="1">{"'Sheet1'!$L$16"}</definedName>
    <definedName name="_h2" localSheetId="6" hidden="1">{"'Sheet1'!$L$16"}</definedName>
    <definedName name="_h2" localSheetId="15" hidden="1">{"'Sheet1'!$L$16"}</definedName>
    <definedName name="_h2" localSheetId="16" hidden="1">{"'Sheet1'!$L$16"}</definedName>
    <definedName name="_h2" localSheetId="19" hidden="1">{"'Sheet1'!$L$16"}</definedName>
    <definedName name="_h2" localSheetId="23" hidden="1">{"'Sheet1'!$L$16"}</definedName>
    <definedName name="_h2" localSheetId="8" hidden="1">{"'Sheet1'!$L$16"}</definedName>
    <definedName name="_h2" hidden="1">{"'Sheet1'!$L$16"}</definedName>
    <definedName name="_h3" localSheetId="1" hidden="1">{"'Sheet1'!$L$16"}</definedName>
    <definedName name="_h3" localSheetId="2" hidden="1">{"'Sheet1'!$L$16"}</definedName>
    <definedName name="_h3" localSheetId="3" hidden="1">{"'Sheet1'!$L$16"}</definedName>
    <definedName name="_h3" localSheetId="4" hidden="1">{"'Sheet1'!$L$16"}</definedName>
    <definedName name="_h3" localSheetId="6" hidden="1">{"'Sheet1'!$L$16"}</definedName>
    <definedName name="_h3" localSheetId="15" hidden="1">{"'Sheet1'!$L$16"}</definedName>
    <definedName name="_h3" localSheetId="16" hidden="1">{"'Sheet1'!$L$16"}</definedName>
    <definedName name="_h3" localSheetId="19" hidden="1">{"'Sheet1'!$L$16"}</definedName>
    <definedName name="_h3" localSheetId="23" hidden="1">{"'Sheet1'!$L$16"}</definedName>
    <definedName name="_h3" localSheetId="8" hidden="1">{"'Sheet1'!$L$16"}</definedName>
    <definedName name="_h3" hidden="1">{"'Sheet1'!$L$16"}</definedName>
    <definedName name="_h5" localSheetId="1" hidden="1">{"'Sheet1'!$L$16"}</definedName>
    <definedName name="_h5" localSheetId="2" hidden="1">{"'Sheet1'!$L$16"}</definedName>
    <definedName name="_h5" localSheetId="3" hidden="1">{"'Sheet1'!$L$16"}</definedName>
    <definedName name="_h5" localSheetId="4" hidden="1">{"'Sheet1'!$L$16"}</definedName>
    <definedName name="_h5" localSheetId="6" hidden="1">{"'Sheet1'!$L$16"}</definedName>
    <definedName name="_h5" localSheetId="15" hidden="1">{"'Sheet1'!$L$16"}</definedName>
    <definedName name="_h5" localSheetId="16" hidden="1">{"'Sheet1'!$L$16"}</definedName>
    <definedName name="_h5" localSheetId="19" hidden="1">{"'Sheet1'!$L$16"}</definedName>
    <definedName name="_h5" localSheetId="23" hidden="1">{"'Sheet1'!$L$16"}</definedName>
    <definedName name="_h5" localSheetId="8" hidden="1">{"'Sheet1'!$L$16"}</definedName>
    <definedName name="_h5" hidden="1">{"'Sheet1'!$L$16"}</definedName>
    <definedName name="_h6" localSheetId="1" hidden="1">{"'Sheet1'!$L$16"}</definedName>
    <definedName name="_h6" localSheetId="2" hidden="1">{"'Sheet1'!$L$16"}</definedName>
    <definedName name="_h6" localSheetId="3" hidden="1">{"'Sheet1'!$L$16"}</definedName>
    <definedName name="_h6" localSheetId="4" hidden="1">{"'Sheet1'!$L$16"}</definedName>
    <definedName name="_h6" localSheetId="6" hidden="1">{"'Sheet1'!$L$16"}</definedName>
    <definedName name="_h6" localSheetId="15" hidden="1">{"'Sheet1'!$L$16"}</definedName>
    <definedName name="_h6" localSheetId="16" hidden="1">{"'Sheet1'!$L$16"}</definedName>
    <definedName name="_h6" localSheetId="19" hidden="1">{"'Sheet1'!$L$16"}</definedName>
    <definedName name="_h6" localSheetId="23" hidden="1">{"'Sheet1'!$L$16"}</definedName>
    <definedName name="_h6" localSheetId="8" hidden="1">{"'Sheet1'!$L$16"}</definedName>
    <definedName name="_h6" hidden="1">{"'Sheet1'!$L$16"}</definedName>
    <definedName name="_h7" localSheetId="1" hidden="1">{"'Sheet1'!$L$16"}</definedName>
    <definedName name="_h7" localSheetId="2" hidden="1">{"'Sheet1'!$L$16"}</definedName>
    <definedName name="_h7" localSheetId="3" hidden="1">{"'Sheet1'!$L$16"}</definedName>
    <definedName name="_h7" localSheetId="4" hidden="1">{"'Sheet1'!$L$16"}</definedName>
    <definedName name="_h7" localSheetId="6" hidden="1">{"'Sheet1'!$L$16"}</definedName>
    <definedName name="_h7" localSheetId="15" hidden="1">{"'Sheet1'!$L$16"}</definedName>
    <definedName name="_h7" localSheetId="16" hidden="1">{"'Sheet1'!$L$16"}</definedName>
    <definedName name="_h7" localSheetId="19" hidden="1">{"'Sheet1'!$L$16"}</definedName>
    <definedName name="_h7" localSheetId="23" hidden="1">{"'Sheet1'!$L$16"}</definedName>
    <definedName name="_h7" localSheetId="8" hidden="1">{"'Sheet1'!$L$16"}</definedName>
    <definedName name="_h7" hidden="1">{"'Sheet1'!$L$16"}</definedName>
    <definedName name="_h8" localSheetId="1" hidden="1">{"'Sheet1'!$L$16"}</definedName>
    <definedName name="_h8" localSheetId="2" hidden="1">{"'Sheet1'!$L$16"}</definedName>
    <definedName name="_h8" localSheetId="3" hidden="1">{"'Sheet1'!$L$16"}</definedName>
    <definedName name="_h8" localSheetId="4" hidden="1">{"'Sheet1'!$L$16"}</definedName>
    <definedName name="_h8" localSheetId="6" hidden="1">{"'Sheet1'!$L$16"}</definedName>
    <definedName name="_h8" localSheetId="15" hidden="1">{"'Sheet1'!$L$16"}</definedName>
    <definedName name="_h8" localSheetId="16" hidden="1">{"'Sheet1'!$L$16"}</definedName>
    <definedName name="_h8" localSheetId="19" hidden="1">{"'Sheet1'!$L$16"}</definedName>
    <definedName name="_h8" localSheetId="23" hidden="1">{"'Sheet1'!$L$16"}</definedName>
    <definedName name="_h8" localSheetId="8" hidden="1">{"'Sheet1'!$L$16"}</definedName>
    <definedName name="_h8" hidden="1">{"'Sheet1'!$L$16"}</definedName>
    <definedName name="_h9" localSheetId="1" hidden="1">{"'Sheet1'!$L$16"}</definedName>
    <definedName name="_h9" localSheetId="2" hidden="1">{"'Sheet1'!$L$16"}</definedName>
    <definedName name="_h9" localSheetId="3" hidden="1">{"'Sheet1'!$L$16"}</definedName>
    <definedName name="_h9" localSheetId="4" hidden="1">{"'Sheet1'!$L$16"}</definedName>
    <definedName name="_h9" localSheetId="6" hidden="1">{"'Sheet1'!$L$16"}</definedName>
    <definedName name="_h9" localSheetId="15" hidden="1">{"'Sheet1'!$L$16"}</definedName>
    <definedName name="_h9" localSheetId="16" hidden="1">{"'Sheet1'!$L$16"}</definedName>
    <definedName name="_h9" localSheetId="19" hidden="1">{"'Sheet1'!$L$16"}</definedName>
    <definedName name="_h9" localSheetId="23" hidden="1">{"'Sheet1'!$L$16"}</definedName>
    <definedName name="_h9" localSheetId="8" hidden="1">{"'Sheet1'!$L$16"}</definedName>
    <definedName name="_h9" hidden="1">{"'Sheet1'!$L$16"}</definedName>
    <definedName name="_M1">[3]XL4Poppy!$C$4</definedName>
    <definedName name="_NSO2" localSheetId="1" hidden="1">{"'Sheet1'!$L$16"}</definedName>
    <definedName name="_NSO2" localSheetId="2" hidden="1">{"'Sheet1'!$L$16"}</definedName>
    <definedName name="_NSO2" localSheetId="3" hidden="1">{"'Sheet1'!$L$16"}</definedName>
    <definedName name="_NSO2" localSheetId="4" hidden="1">{"'Sheet1'!$L$16"}</definedName>
    <definedName name="_NSO2" localSheetId="6" hidden="1">{"'Sheet1'!$L$16"}</definedName>
    <definedName name="_NSO2" localSheetId="15" hidden="1">{"'Sheet1'!$L$16"}</definedName>
    <definedName name="_NSO2" localSheetId="16" hidden="1">{"'Sheet1'!$L$16"}</definedName>
    <definedName name="_NSO2" localSheetId="19" hidden="1">{"'Sheet1'!$L$16"}</definedName>
    <definedName name="_NSO2" localSheetId="23" hidden="1">{"'Sheet1'!$L$16"}</definedName>
    <definedName name="_NSO2" localSheetId="8" hidden="1">{"'Sheet1'!$L$16"}</definedName>
    <definedName name="_NSO2" hidden="1">{"'Sheet1'!$L$16"}</definedName>
    <definedName name="_Order1" hidden="1">255</definedName>
    <definedName name="_Order2" hidden="1">255</definedName>
    <definedName name="_PA3" localSheetId="1" hidden="1">{"'Sheet1'!$L$16"}</definedName>
    <definedName name="_PA3" localSheetId="2" hidden="1">{"'Sheet1'!$L$16"}</definedName>
    <definedName name="_PA3" localSheetId="3" hidden="1">{"'Sheet1'!$L$16"}</definedName>
    <definedName name="_PA3" localSheetId="4" hidden="1">{"'Sheet1'!$L$16"}</definedName>
    <definedName name="_PA3" localSheetId="6" hidden="1">{"'Sheet1'!$L$16"}</definedName>
    <definedName name="_PA3" localSheetId="15" hidden="1">{"'Sheet1'!$L$16"}</definedName>
    <definedName name="_PA3" localSheetId="16" hidden="1">{"'Sheet1'!$L$16"}</definedName>
    <definedName name="_PA3" localSheetId="19" hidden="1">{"'Sheet1'!$L$16"}</definedName>
    <definedName name="_PA3" localSheetId="23" hidden="1">{"'Sheet1'!$L$16"}</definedName>
    <definedName name="_PA3" localSheetId="8" hidden="1">{"'Sheet1'!$L$16"}</definedName>
    <definedName name="_PA3" hidden="1">{"'Sheet1'!$L$16"}</definedName>
    <definedName name="_vl2" localSheetId="1" hidden="1">{"'Sheet1'!$L$16"}</definedName>
    <definedName name="_vl2" localSheetId="2" hidden="1">{"'Sheet1'!$L$16"}</definedName>
    <definedName name="_vl2" localSheetId="3" hidden="1">{"'Sheet1'!$L$16"}</definedName>
    <definedName name="_vl2" localSheetId="4" hidden="1">{"'Sheet1'!$L$16"}</definedName>
    <definedName name="_vl2" localSheetId="6" hidden="1">{"'Sheet1'!$L$16"}</definedName>
    <definedName name="_vl2" localSheetId="15" hidden="1">{"'Sheet1'!$L$16"}</definedName>
    <definedName name="_vl2" localSheetId="16" hidden="1">{"'Sheet1'!$L$16"}</definedName>
    <definedName name="_vl2" localSheetId="19" hidden="1">{"'Sheet1'!$L$16"}</definedName>
    <definedName name="_vl2" localSheetId="23" hidden="1">{"'Sheet1'!$L$16"}</definedName>
    <definedName name="_vl2" localSheetId="8" hidden="1">{"'Sheet1'!$L$16"}</definedName>
    <definedName name="_vl2" hidden="1">{"'Sheet1'!$L$16"}</definedName>
    <definedName name="anscount" hidden="1">3</definedName>
    <definedName name="bb" localSheetId="1">{"Thuxm2.xls","Sheet1"}</definedName>
    <definedName name="bb" localSheetId="2">{"Thuxm2.xls","Sheet1"}</definedName>
    <definedName name="bb" localSheetId="3">{"Thuxm2.xls","Sheet1"}</definedName>
    <definedName name="bb" localSheetId="4">{"Thuxm2.xls","Sheet1"}</definedName>
    <definedName name="bb" localSheetId="6">{"Thuxm2.xls","Sheet1"}</definedName>
    <definedName name="bb" localSheetId="15">{"Thuxm2.xls","Sheet1"}</definedName>
    <definedName name="bb" localSheetId="16">{"Thuxm2.xls","Sheet1"}</definedName>
    <definedName name="bb" localSheetId="19">{"Thuxm2.xls","Sheet1"}</definedName>
    <definedName name="bb" localSheetId="23">{"Thuxm2.xls","Sheet1"}</definedName>
    <definedName name="bb" localSheetId="8">{"Thuxm2.xls","Sheet1"}</definedName>
    <definedName name="bb">{"Thuxm2.xls","Sheet1"}</definedName>
    <definedName name="BCBo" localSheetId="1" hidden="1">{"'Sheet1'!$L$16"}</definedName>
    <definedName name="BCBo" localSheetId="2" hidden="1">{"'Sheet1'!$L$16"}</definedName>
    <definedName name="BCBo" localSheetId="3" hidden="1">{"'Sheet1'!$L$16"}</definedName>
    <definedName name="BCBo" localSheetId="4" hidden="1">{"'Sheet1'!$L$16"}</definedName>
    <definedName name="BCBo" localSheetId="6" hidden="1">{"'Sheet1'!$L$16"}</definedName>
    <definedName name="BCBo" localSheetId="15" hidden="1">{"'Sheet1'!$L$16"}</definedName>
    <definedName name="BCBo" localSheetId="16" hidden="1">{"'Sheet1'!$L$16"}</definedName>
    <definedName name="BCBo" localSheetId="19" hidden="1">{"'Sheet1'!$L$16"}</definedName>
    <definedName name="BCBo" localSheetId="23" hidden="1">{"'Sheet1'!$L$16"}</definedName>
    <definedName name="BCBo" localSheetId="8" hidden="1">{"'Sheet1'!$L$16"}</definedName>
    <definedName name="BCBo" hidden="1">{"'Sheet1'!$L$16"}</definedName>
    <definedName name="Bulongma">8700</definedName>
    <definedName name="CACAU">298161</definedName>
    <definedName name="CLVC3">0.1</definedName>
    <definedName name="Cotsatma">9726</definedName>
    <definedName name="Cotthepma">9726</definedName>
    <definedName name="D_giavt">'[4]Dgia vat tu'!$A$5:$F$226</definedName>
    <definedName name="DCL_22">12117600</definedName>
    <definedName name="DCL_35">25490000</definedName>
    <definedName name="dđ" localSheetId="1" hidden="1">{"'Sheet1'!$L$16"}</definedName>
    <definedName name="dđ" localSheetId="2" hidden="1">{"'Sheet1'!$L$16"}</definedName>
    <definedName name="dđ" localSheetId="3" hidden="1">{"'Sheet1'!$L$16"}</definedName>
    <definedName name="dđ" localSheetId="4" hidden="1">{"'Sheet1'!$L$16"}</definedName>
    <definedName name="dđ" localSheetId="6" hidden="1">{"'Sheet1'!$L$16"}</definedName>
    <definedName name="dđ" localSheetId="15" hidden="1">{"'Sheet1'!$L$16"}</definedName>
    <definedName name="dđ" localSheetId="16" hidden="1">{"'Sheet1'!$L$16"}</definedName>
    <definedName name="dđ" localSheetId="19" hidden="1">{"'Sheet1'!$L$16"}</definedName>
    <definedName name="dđ" localSheetId="23" hidden="1">{"'Sheet1'!$L$16"}</definedName>
    <definedName name="dđ" localSheetId="8" hidden="1">{"'Sheet1'!$L$16"}</definedName>
    <definedName name="dđ" hidden="1">{"'Sheet1'!$L$16"}</definedName>
    <definedName name="Document_array" localSheetId="1">{"Thuxm2.xls","Sheet1"}</definedName>
    <definedName name="Document_array" localSheetId="2">{"Thuxm2.xls","Sheet1"}</definedName>
    <definedName name="Document_array" localSheetId="3">{"Thuxm2.xls","Sheet1"}</definedName>
    <definedName name="Document_array" localSheetId="4">{"Thuxm2.xls","Sheet1"}</definedName>
    <definedName name="Document_array" localSheetId="6">{"Thuxm2.xls","Sheet1"}</definedName>
    <definedName name="Document_array" localSheetId="15">{"Thuxm2.xls","Sheet1"}</definedName>
    <definedName name="Document_array" localSheetId="16">{"Thuxm2.xls","Sheet1"}</definedName>
    <definedName name="Document_array" localSheetId="19">{"Thuxm2.xls","Sheet1"}</definedName>
    <definedName name="Document_array" localSheetId="23">{"Thuxm2.xls","Sheet1"}</definedName>
    <definedName name="Document_array" localSheetId="8">{"Thuxm2.xls","Sheet1"}</definedName>
    <definedName name="Document_array">{"Thuxm2.xls","Sheet1"}</definedName>
    <definedName name="Dongia_III">'[4]Don gia_III'!$A$4:$F$293</definedName>
    <definedName name="DSTD_Clear" localSheetId="3">[5]!DSTD_Clear</definedName>
    <definedName name="DSTD_Clear" localSheetId="6">[5]!DSTD_Clear</definedName>
    <definedName name="DSTD_Clear">[5]!DSTD_Clear</definedName>
    <definedName name="DU_TOAN_CHI_TIET_TBA">'[6]chi tiet TBA'!$A$1:$B$1</definedName>
    <definedName name="DUCANH" localSheetId="1" hidden="1">{"'Sheet1'!$L$16"}</definedName>
    <definedName name="DUCANH" localSheetId="2" hidden="1">{"'Sheet1'!$L$16"}</definedName>
    <definedName name="DUCANH" localSheetId="3" hidden="1">{"'Sheet1'!$L$16"}</definedName>
    <definedName name="DUCANH" localSheetId="4" hidden="1">{"'Sheet1'!$L$16"}</definedName>
    <definedName name="DUCANH" localSheetId="6" hidden="1">{"'Sheet1'!$L$16"}</definedName>
    <definedName name="DUCANH" localSheetId="15" hidden="1">{"'Sheet1'!$L$16"}</definedName>
    <definedName name="DUCANH" localSheetId="16" hidden="1">{"'Sheet1'!$L$16"}</definedName>
    <definedName name="DUCANH" localSheetId="19" hidden="1">{"'Sheet1'!$L$16"}</definedName>
    <definedName name="DUCANH" localSheetId="23" hidden="1">{"'Sheet1'!$L$16"}</definedName>
    <definedName name="DUCANH" localSheetId="8" hidden="1">{"'Sheet1'!$L$16"}</definedName>
    <definedName name="DUCANH" hidden="1">{"'Sheet1'!$L$16"}</definedName>
    <definedName name="FI_12">4820</definedName>
    <definedName name="ggg" localSheetId="1" hidden="1">{"'Sheet1'!$L$16"}</definedName>
    <definedName name="ggg" localSheetId="3" hidden="1">{"'Sheet1'!$L$16"}</definedName>
    <definedName name="ggg" localSheetId="6" hidden="1">{"'Sheet1'!$L$16"}</definedName>
    <definedName name="ggg" localSheetId="8" hidden="1">{"'Sheet1'!$L$16"}</definedName>
    <definedName name="ggg" hidden="1">{"'Sheet1'!$L$16"}</definedName>
    <definedName name="h" localSheetId="1" hidden="1">{"'Sheet1'!$L$16"}</definedName>
    <definedName name="h" localSheetId="2" hidden="1">{"'Sheet1'!$L$16"}</definedName>
    <definedName name="h" localSheetId="3" hidden="1">{"'Sheet1'!$L$16"}</definedName>
    <definedName name="h" localSheetId="4" hidden="1">{"'Sheet1'!$L$16"}</definedName>
    <definedName name="h" localSheetId="6" hidden="1">{"'Sheet1'!$L$16"}</definedName>
    <definedName name="h" localSheetId="15" hidden="1">{"'Sheet1'!$L$16"}</definedName>
    <definedName name="h" localSheetId="16" hidden="1">{"'Sheet1'!$L$16"}</definedName>
    <definedName name="h" localSheetId="19" hidden="1">{"'Sheet1'!$L$16"}</definedName>
    <definedName name="h" localSheetId="23" hidden="1">{"'Sheet1'!$L$16"}</definedName>
    <definedName name="h" localSheetId="8" hidden="1">{"'Sheet1'!$L$16"}</definedName>
    <definedName name="h" hidden="1">{"'Sheet1'!$L$16"}</definedName>
    <definedName name="Heä_soá_laép_xaø_H">1.7</definedName>
    <definedName name="HHUHOI" localSheetId="3">[5]!HHUHOI</definedName>
    <definedName name="HHUHOI" localSheetId="6">[5]!HHUHOI</definedName>
    <definedName name="HHUHOI">[5]!HHUHOI</definedName>
    <definedName name="HIHIHIHOI" localSheetId="1" hidden="1">{"'Sheet1'!$L$16"}</definedName>
    <definedName name="HIHIHIHOI" localSheetId="2" hidden="1">{"'Sheet1'!$L$16"}</definedName>
    <definedName name="HIHIHIHOI" localSheetId="3" hidden="1">{"'Sheet1'!$L$16"}</definedName>
    <definedName name="HIHIHIHOI" localSheetId="4" hidden="1">{"'Sheet1'!$L$16"}</definedName>
    <definedName name="HIHIHIHOI" localSheetId="6" hidden="1">{"'Sheet1'!$L$16"}</definedName>
    <definedName name="HIHIHIHOI" localSheetId="15" hidden="1">{"'Sheet1'!$L$16"}</definedName>
    <definedName name="HIHIHIHOI" localSheetId="16" hidden="1">{"'Sheet1'!$L$16"}</definedName>
    <definedName name="HIHIHIHOI" localSheetId="19" hidden="1">{"'Sheet1'!$L$16"}</definedName>
    <definedName name="HIHIHIHOI" localSheetId="23" hidden="1">{"'Sheet1'!$L$16"}</definedName>
    <definedName name="HIHIHIHOI" localSheetId="8" hidden="1">{"'Sheet1'!$L$16"}</definedName>
    <definedName name="HIHIHIHOI" hidden="1">{"'Sheet1'!$L$16"}</definedName>
    <definedName name="HJKL" localSheetId="1" hidden="1">{"'Sheet1'!$L$16"}</definedName>
    <definedName name="HJKL" localSheetId="2" hidden="1">{"'Sheet1'!$L$16"}</definedName>
    <definedName name="HJKL" localSheetId="3" hidden="1">{"'Sheet1'!$L$16"}</definedName>
    <definedName name="HJKL" localSheetId="4" hidden="1">{"'Sheet1'!$L$16"}</definedName>
    <definedName name="HJKL" localSheetId="6" hidden="1">{"'Sheet1'!$L$16"}</definedName>
    <definedName name="HJKL" localSheetId="15" hidden="1">{"'Sheet1'!$L$16"}</definedName>
    <definedName name="HJKL" localSheetId="16" hidden="1">{"'Sheet1'!$L$16"}</definedName>
    <definedName name="HJKL" localSheetId="19" hidden="1">{"'Sheet1'!$L$16"}</definedName>
    <definedName name="HJKL" localSheetId="23" hidden="1">{"'Sheet1'!$L$16"}</definedName>
    <definedName name="HJKL" localSheetId="8" hidden="1">{"'Sheet1'!$L$16"}</definedName>
    <definedName name="HJKL" hidden="1">{"'Sheet1'!$L$16"}</definedName>
    <definedName name="HSCT3">0.1</definedName>
    <definedName name="HSDN">2.5</definedName>
    <definedName name="HSLXH">1.7</definedName>
    <definedName name="HTML_CodePage" hidden="1">950</definedName>
    <definedName name="HTML_Control" localSheetId="1" hidden="1">{"'Sheet1'!$L$16"}</definedName>
    <definedName name="HTML_Control" localSheetId="2" hidden="1">{"'Sheet1'!$L$16"}</definedName>
    <definedName name="HTML_Control" localSheetId="3" hidden="1">{"'Sheet1'!$L$16"}</definedName>
    <definedName name="HTML_Control" localSheetId="4" hidden="1">{"'Sheet1'!$L$16"}</definedName>
    <definedName name="HTML_Control" localSheetId="6" hidden="1">{"'Sheet1'!$L$16"}</definedName>
    <definedName name="HTML_Control" localSheetId="15" hidden="1">{"'Sheet1'!$L$16"}</definedName>
    <definedName name="HTML_Control" localSheetId="16" hidden="1">{"'Sheet1'!$L$16"}</definedName>
    <definedName name="HTML_Control" localSheetId="19" hidden="1">{"'Sheet1'!$L$16"}</definedName>
    <definedName name="HTML_Control" localSheetId="23" hidden="1">{"'Sheet1'!$L$16"}</definedName>
    <definedName name="HTML_Control" localSheetId="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Title" hidden="1">"00Q3961-SUM"</definedName>
    <definedName name="huong">[7]XL4Poppy!$C$31</definedName>
    <definedName name="L63x6">5800</definedName>
    <definedName name="LBS_22">107800000</definedName>
    <definedName name="NHAÂN_COÂNG" localSheetId="1">BTRAM</definedName>
    <definedName name="NHAÂN_COÂNG" localSheetId="2">BTRAM</definedName>
    <definedName name="NHAÂN_COÂNG" localSheetId="3">BTRAM</definedName>
    <definedName name="NHAÂN_COÂNG" localSheetId="4">BTRAM</definedName>
    <definedName name="NHAÂN_COÂNG" localSheetId="6">BTRAM</definedName>
    <definedName name="NHAÂN_COÂNG" localSheetId="15">BTRAM</definedName>
    <definedName name="NHAÂN_COÂNG" localSheetId="16">BTRAM</definedName>
    <definedName name="NHAÂN_COÂNG" localSheetId="19">BTRAM</definedName>
    <definedName name="NHAÂN_COÂNG" localSheetId="23">BTRAM</definedName>
    <definedName name="NHAÂN_COÂNG" localSheetId="8">BTRAM</definedName>
    <definedName name="NHAÂN_COÂNG">BTRAM</definedName>
    <definedName name="_xlnm.Print_Area" localSheetId="0">'Bieu 01 '!$A$1:$F$41</definedName>
    <definedName name="_xlnm.Print_Area" localSheetId="1">'Bieu 02'!$A$1:$L$20</definedName>
    <definedName name="_xlnm.Print_Area" localSheetId="3">'Bieu 03.1'!$A$1:$Q$153</definedName>
    <definedName name="_xlnm.Print_Area" localSheetId="4">'Bieu 04'!$A$1:$H$20</definedName>
    <definedName name="_xlnm.Print_Area" localSheetId="6">'Bieu 05.1'!$A$1:$Q$153</definedName>
    <definedName name="_xlnm.Print_Area" localSheetId="15">'Bieu 14'!$A$1:$G$13</definedName>
    <definedName name="_xlnm.Print_Area" localSheetId="16">'Bieu 15'!$A$1:$J$27</definedName>
    <definedName name="_xlnm.Print_Area" localSheetId="19">'Bieu 16'!$A$1:$M$14</definedName>
    <definedName name="_xlnm.Print_Area" localSheetId="23">'Bieu 16.4'!$A$1:$G$43</definedName>
    <definedName name="_xlnm.Print_Area" localSheetId="7">'Bieu 6'!$A$1:$K$10</definedName>
    <definedName name="_xlnm.Print_Area" localSheetId="8">'Bieu 7'!$A$2:$H$15</definedName>
    <definedName name="_xlnm.Print_Area">#REF!</definedName>
    <definedName name="_xlnm.Print_Titles" localSheetId="0">'Bieu 01 '!$5:$5</definedName>
    <definedName name="_xlnm.Print_Titles" localSheetId="1">'Bieu 02'!$4:$5</definedName>
    <definedName name="_xlnm.Print_Titles" localSheetId="2">'Bieu 03'!$4:$5</definedName>
    <definedName name="_xlnm.Print_Titles" localSheetId="3">'Bieu 03.1'!$5:$7</definedName>
    <definedName name="_xlnm.Print_Titles" localSheetId="4">'Bieu 04'!$4:$6</definedName>
    <definedName name="_xlnm.Print_Titles" localSheetId="5">'Bieu 05'!$4:$5</definedName>
    <definedName name="_xlnm.Print_Titles" localSheetId="6">'Bieu 05.1'!$5:$7</definedName>
    <definedName name="_xlnm.Print_Titles" localSheetId="15">'Bieu 14'!$5:$8</definedName>
    <definedName name="_xlnm.Print_Titles" localSheetId="16">'Bieu 15'!$5:$6</definedName>
    <definedName name="_xlnm.Print_Titles" localSheetId="17">'Bieu 15.1'!$6:$7</definedName>
    <definedName name="_xlnm.Print_Titles" localSheetId="21">'Bieu 16.2'!$5:$7</definedName>
    <definedName name="_xlnm.Print_Titles" localSheetId="23">'Bieu 16.4'!$6:$7</definedName>
    <definedName name="_xlnm.Print_Titles">#N/A</definedName>
    <definedName name="rate">14000</definedName>
    <definedName name="RGHGSD" localSheetId="1" hidden="1">{"'Sheet1'!$L$16"}</definedName>
    <definedName name="RGHGSD" localSheetId="2" hidden="1">{"'Sheet1'!$L$16"}</definedName>
    <definedName name="RGHGSD" localSheetId="3" hidden="1">{"'Sheet1'!$L$16"}</definedName>
    <definedName name="RGHGSD" localSheetId="4" hidden="1">{"'Sheet1'!$L$16"}</definedName>
    <definedName name="RGHGSD" localSheetId="6" hidden="1">{"'Sheet1'!$L$16"}</definedName>
    <definedName name="RGHGSD" localSheetId="15" hidden="1">{"'Sheet1'!$L$16"}</definedName>
    <definedName name="RGHGSD" localSheetId="16" hidden="1">{"'Sheet1'!$L$16"}</definedName>
    <definedName name="RGHGSD" localSheetId="19" hidden="1">{"'Sheet1'!$L$16"}</definedName>
    <definedName name="RGHGSD" localSheetId="23" hidden="1">{"'Sheet1'!$L$16"}</definedName>
    <definedName name="RGHGSD" localSheetId="8" hidden="1">{"'Sheet1'!$L$16"}</definedName>
    <definedName name="RGHGSD" hidden="1">{"'Sheet1'!$L$16"}</definedName>
    <definedName name="rrr" localSheetId="1" hidden="1">{"'Sheet1'!$L$16"}</definedName>
    <definedName name="rrr" localSheetId="3" hidden="1">{"'Sheet1'!$L$16"}</definedName>
    <definedName name="rrr" localSheetId="6" hidden="1">{"'Sheet1'!$L$16"}</definedName>
    <definedName name="rrr" localSheetId="8" hidden="1">{"'Sheet1'!$L$16"}</definedName>
    <definedName name="rrr" hidden="1">{"'Sheet1'!$L$16"}</definedName>
    <definedName name="Tæng_c_ng_suÊt_hiÖn_t_i">"THOP"</definedName>
    <definedName name="TaxTV">10%</definedName>
    <definedName name="TaxXL">5%</definedName>
    <definedName name="thepma">10500</definedName>
    <definedName name="THOP">"THOP"</definedName>
    <definedName name="Tiepdiama">9500</definedName>
    <definedName name="trang" localSheetId="1" hidden="1">{"'Sheet1'!$L$16"}</definedName>
    <definedName name="trang" localSheetId="2" hidden="1">{"'Sheet1'!$L$16"}</definedName>
    <definedName name="trang" localSheetId="3" hidden="1">{"'Sheet1'!$L$16"}</definedName>
    <definedName name="trang" localSheetId="4" hidden="1">{"'Sheet1'!$L$16"}</definedName>
    <definedName name="trang" localSheetId="6" hidden="1">{"'Sheet1'!$L$16"}</definedName>
    <definedName name="trang" localSheetId="15" hidden="1">{"'Sheet1'!$L$16"}</definedName>
    <definedName name="trang" localSheetId="16" hidden="1">{"'Sheet1'!$L$16"}</definedName>
    <definedName name="trang" localSheetId="19" hidden="1">{"'Sheet1'!$L$16"}</definedName>
    <definedName name="trang" localSheetId="23" hidden="1">{"'Sheet1'!$L$16"}</definedName>
    <definedName name="trang" localSheetId="8" hidden="1">{"'Sheet1'!$L$16"}</definedName>
    <definedName name="trang" hidden="1">{"'Sheet1'!$L$16"}</definedName>
    <definedName name="VAÄT_LIEÄU">"ATRAM"</definedName>
    <definedName name="XCCT">0.5</definedName>
  </definedNames>
  <calcPr calcId="162913"/>
</workbook>
</file>

<file path=xl/calcChain.xml><?xml version="1.0" encoding="utf-8"?>
<calcChain xmlns="http://schemas.openxmlformats.org/spreadsheetml/2006/main">
  <c r="C114" i="6" l="1"/>
  <c r="C102" i="6"/>
  <c r="G19" i="25" l="1"/>
  <c r="H19" i="25" s="1"/>
  <c r="F7" i="28"/>
  <c r="D7" i="28"/>
  <c r="C150" i="6" l="1"/>
  <c r="C152" i="6"/>
  <c r="D32" i="6"/>
  <c r="C32" i="6" s="1"/>
  <c r="D33" i="6"/>
  <c r="D47" i="6"/>
  <c r="D46" i="6"/>
  <c r="E23" i="15"/>
  <c r="D15" i="15"/>
  <c r="D31" i="15" l="1"/>
  <c r="E241" i="17"/>
  <c r="O51" i="48"/>
  <c r="O52" i="48"/>
  <c r="O57" i="48"/>
  <c r="O58" i="48"/>
  <c r="O50" i="48"/>
  <c r="O53" i="48"/>
  <c r="O54" i="48"/>
  <c r="O55" i="48"/>
  <c r="O56" i="48"/>
  <c r="C46" i="6"/>
  <c r="C49" i="6"/>
  <c r="C50" i="6"/>
  <c r="C51" i="6"/>
  <c r="C6" i="15"/>
  <c r="C154" i="6" l="1"/>
  <c r="C155" i="6"/>
  <c r="C153" i="6"/>
  <c r="D261" i="17"/>
  <c r="E261" i="17"/>
  <c r="F261" i="17"/>
  <c r="C262" i="17"/>
  <c r="C261" i="17" s="1"/>
  <c r="C38" i="17"/>
  <c r="E222" i="17"/>
  <c r="D11" i="17"/>
  <c r="E113" i="17"/>
  <c r="F113" i="17"/>
  <c r="E11" i="17"/>
  <c r="C88" i="17" l="1"/>
  <c r="C89" i="17"/>
  <c r="C90" i="17"/>
  <c r="C46" i="17"/>
  <c r="C47" i="17"/>
  <c r="C48" i="17"/>
  <c r="C101" i="17"/>
  <c r="C115" i="17"/>
  <c r="F11" i="17"/>
  <c r="C260" i="17"/>
  <c r="C259" i="17"/>
  <c r="C238" i="17"/>
  <c r="C226" i="17"/>
  <c r="C227" i="17"/>
  <c r="C228" i="17"/>
  <c r="C229" i="17"/>
  <c r="C230" i="17"/>
  <c r="C231" i="17"/>
  <c r="C232" i="17"/>
  <c r="C233" i="17"/>
  <c r="C234" i="17"/>
  <c r="C235" i="17"/>
  <c r="C236" i="17"/>
  <c r="E237" i="17"/>
  <c r="D239" i="17"/>
  <c r="C239" i="17" s="1"/>
  <c r="F240" i="17"/>
  <c r="F237" i="17" s="1"/>
  <c r="C241" i="17"/>
  <c r="D222" i="17"/>
  <c r="D242" i="17"/>
  <c r="D118" i="17"/>
  <c r="D109" i="17"/>
  <c r="D106" i="17"/>
  <c r="D102" i="17"/>
  <c r="D94" i="17"/>
  <c r="C243" i="17"/>
  <c r="F222" i="17"/>
  <c r="C225" i="17"/>
  <c r="C224" i="17"/>
  <c r="C223" i="17"/>
  <c r="D83" i="17"/>
  <c r="E83" i="17"/>
  <c r="F83" i="17"/>
  <c r="C85" i="17"/>
  <c r="C84" i="17"/>
  <c r="G44" i="17"/>
  <c r="C27" i="17"/>
  <c r="C26" i="17"/>
  <c r="C25" i="17"/>
  <c r="C24" i="17"/>
  <c r="L61" i="48"/>
  <c r="M61" i="48"/>
  <c r="M8" i="48"/>
  <c r="M153" i="48" s="1"/>
  <c r="L118" i="48"/>
  <c r="M118" i="48"/>
  <c r="C111" i="6"/>
  <c r="C87" i="6"/>
  <c r="C88" i="6"/>
  <c r="C89" i="6"/>
  <c r="C90" i="6"/>
  <c r="C91" i="6"/>
  <c r="C92" i="6"/>
  <c r="C94" i="6"/>
  <c r="C95" i="6"/>
  <c r="C96" i="6"/>
  <c r="C97" i="6"/>
  <c r="C98" i="6"/>
  <c r="C103" i="6"/>
  <c r="E85" i="6"/>
  <c r="D85" i="6"/>
  <c r="L8" i="48" l="1"/>
  <c r="L153" i="48" s="1"/>
  <c r="D237" i="17"/>
  <c r="C240" i="17"/>
  <c r="C237" i="17" s="1"/>
  <c r="C83" i="17"/>
  <c r="F151" i="6"/>
  <c r="E139" i="6"/>
  <c r="C77" i="6"/>
  <c r="C78" i="6"/>
  <c r="C79" i="6"/>
  <c r="C80" i="6"/>
  <c r="C81" i="6"/>
  <c r="C156" i="6"/>
  <c r="D139" i="6"/>
  <c r="C86" i="6"/>
  <c r="I152" i="48"/>
  <c r="K152" i="48" s="1"/>
  <c r="N152" i="48" s="1"/>
  <c r="P152" i="48" s="1"/>
  <c r="I151" i="48"/>
  <c r="K151" i="48" s="1"/>
  <c r="N151" i="48" s="1"/>
  <c r="P151" i="48" s="1"/>
  <c r="I150" i="48"/>
  <c r="K150" i="48" s="1"/>
  <c r="N150" i="48" s="1"/>
  <c r="P150" i="48" s="1"/>
  <c r="I149" i="48"/>
  <c r="K149" i="48" s="1"/>
  <c r="N149" i="48" s="1"/>
  <c r="P149" i="48" s="1"/>
  <c r="I148" i="48"/>
  <c r="K148" i="48" s="1"/>
  <c r="N148" i="48" s="1"/>
  <c r="P148" i="48" s="1"/>
  <c r="I147" i="48"/>
  <c r="K147" i="48" s="1"/>
  <c r="N147" i="48" s="1"/>
  <c r="P147" i="48" s="1"/>
  <c r="I146" i="48"/>
  <c r="K146" i="48" s="1"/>
  <c r="N146" i="48" s="1"/>
  <c r="Q146" i="48" s="1"/>
  <c r="I145" i="48"/>
  <c r="K145" i="48" s="1"/>
  <c r="N145" i="48" s="1"/>
  <c r="Q145" i="48" s="1"/>
  <c r="I144" i="48"/>
  <c r="K144" i="48" s="1"/>
  <c r="N144" i="48" s="1"/>
  <c r="P144" i="48" s="1"/>
  <c r="I143" i="48"/>
  <c r="K143" i="48" s="1"/>
  <c r="N143" i="48" s="1"/>
  <c r="P143" i="48" s="1"/>
  <c r="I142" i="48"/>
  <c r="K142" i="48" s="1"/>
  <c r="N142" i="48" s="1"/>
  <c r="P142" i="48" s="1"/>
  <c r="I141" i="48"/>
  <c r="K141" i="48" s="1"/>
  <c r="N141" i="48" s="1"/>
  <c r="P141" i="48" s="1"/>
  <c r="I140" i="48"/>
  <c r="K140" i="48" s="1"/>
  <c r="N140" i="48" s="1"/>
  <c r="I139" i="48"/>
  <c r="K139" i="48" s="1"/>
  <c r="N139" i="48" s="1"/>
  <c r="P139" i="48" s="1"/>
  <c r="I138" i="48"/>
  <c r="K138" i="48" s="1"/>
  <c r="N138" i="48" s="1"/>
  <c r="Q138" i="48" s="1"/>
  <c r="I137" i="48"/>
  <c r="K137" i="48" s="1"/>
  <c r="N137" i="48" s="1"/>
  <c r="Q137" i="48" s="1"/>
  <c r="I136" i="48"/>
  <c r="K136" i="48" s="1"/>
  <c r="N136" i="48" s="1"/>
  <c r="O136" i="48" s="1"/>
  <c r="I135" i="48"/>
  <c r="K135" i="48" s="1"/>
  <c r="N135" i="48" s="1"/>
  <c r="O135" i="48" s="1"/>
  <c r="I134" i="48"/>
  <c r="K134" i="48" s="1"/>
  <c r="N134" i="48" s="1"/>
  <c r="O134" i="48" s="1"/>
  <c r="I133" i="48"/>
  <c r="K133" i="48" s="1"/>
  <c r="N133" i="48" s="1"/>
  <c r="O133" i="48" s="1"/>
  <c r="I132" i="48"/>
  <c r="K132" i="48" s="1"/>
  <c r="N132" i="48" s="1"/>
  <c r="O132" i="48" s="1"/>
  <c r="I131" i="48"/>
  <c r="K131" i="48" s="1"/>
  <c r="N131" i="48" s="1"/>
  <c r="O131" i="48" s="1"/>
  <c r="I130" i="48"/>
  <c r="K130" i="48" s="1"/>
  <c r="N130" i="48" s="1"/>
  <c r="O130" i="48" s="1"/>
  <c r="I129" i="48"/>
  <c r="K129" i="48" s="1"/>
  <c r="N129" i="48" s="1"/>
  <c r="O129" i="48" s="1"/>
  <c r="I128" i="48"/>
  <c r="K128" i="48" s="1"/>
  <c r="N128" i="48" s="1"/>
  <c r="Q128" i="48" s="1"/>
  <c r="I127" i="48"/>
  <c r="K127" i="48" s="1"/>
  <c r="N127" i="48" s="1"/>
  <c r="O127" i="48" s="1"/>
  <c r="I126" i="48"/>
  <c r="K126" i="48" s="1"/>
  <c r="N126" i="48" s="1"/>
  <c r="O126" i="48" s="1"/>
  <c r="I125" i="48"/>
  <c r="K125" i="48" s="1"/>
  <c r="N125" i="48" s="1"/>
  <c r="O125" i="48" s="1"/>
  <c r="I124" i="48"/>
  <c r="K124" i="48" s="1"/>
  <c r="N124" i="48" s="1"/>
  <c r="O124" i="48" s="1"/>
  <c r="I123" i="48"/>
  <c r="K123" i="48" s="1"/>
  <c r="N123" i="48" s="1"/>
  <c r="O123" i="48" s="1"/>
  <c r="I122" i="48"/>
  <c r="K122" i="48" s="1"/>
  <c r="N122" i="48" s="1"/>
  <c r="O122" i="48" s="1"/>
  <c r="I121" i="48"/>
  <c r="K121" i="48" s="1"/>
  <c r="N121" i="48" s="1"/>
  <c r="O121" i="48" s="1"/>
  <c r="I120" i="48"/>
  <c r="I119" i="48"/>
  <c r="K119" i="48" s="1"/>
  <c r="N119" i="48" s="1"/>
  <c r="O119" i="48" s="1"/>
  <c r="J118" i="48"/>
  <c r="G118" i="48"/>
  <c r="F118" i="48"/>
  <c r="E118" i="48"/>
  <c r="D118" i="48"/>
  <c r="C118" i="48"/>
  <c r="I117" i="48"/>
  <c r="J117" i="48" s="1"/>
  <c r="K117" i="48" s="1"/>
  <c r="N117" i="48" s="1"/>
  <c r="O117" i="48" s="1"/>
  <c r="I116" i="48"/>
  <c r="J116" i="48" s="1"/>
  <c r="K116" i="48" s="1"/>
  <c r="N116" i="48" s="1"/>
  <c r="O116" i="48" s="1"/>
  <c r="I115" i="48"/>
  <c r="J115" i="48" s="1"/>
  <c r="K115" i="48" s="1"/>
  <c r="N115" i="48" s="1"/>
  <c r="P115" i="48" s="1"/>
  <c r="I114" i="48"/>
  <c r="J114" i="48" s="1"/>
  <c r="K114" i="48" s="1"/>
  <c r="N114" i="48" s="1"/>
  <c r="P114" i="48" s="1"/>
  <c r="I113" i="48"/>
  <c r="J113" i="48" s="1"/>
  <c r="K113" i="48" s="1"/>
  <c r="N113" i="48" s="1"/>
  <c r="P113" i="48" s="1"/>
  <c r="I112" i="48"/>
  <c r="J112" i="48" s="1"/>
  <c r="K112" i="48" s="1"/>
  <c r="N112" i="48" s="1"/>
  <c r="P112" i="48" s="1"/>
  <c r="I111" i="48"/>
  <c r="J111" i="48" s="1"/>
  <c r="K111" i="48" s="1"/>
  <c r="N111" i="48" s="1"/>
  <c r="P111" i="48" s="1"/>
  <c r="I110" i="48"/>
  <c r="J110" i="48" s="1"/>
  <c r="K110" i="48" s="1"/>
  <c r="N110" i="48" s="1"/>
  <c r="P110" i="48" s="1"/>
  <c r="I109" i="48"/>
  <c r="J109" i="48" s="1"/>
  <c r="K109" i="48" s="1"/>
  <c r="N109" i="48" s="1"/>
  <c r="P109" i="48" s="1"/>
  <c r="I108" i="48"/>
  <c r="J108" i="48" s="1"/>
  <c r="K108" i="48" s="1"/>
  <c r="N108" i="48" s="1"/>
  <c r="P108" i="48" s="1"/>
  <c r="I107" i="48"/>
  <c r="J107" i="48" s="1"/>
  <c r="K107" i="48" s="1"/>
  <c r="N107" i="48" s="1"/>
  <c r="P107" i="48" s="1"/>
  <c r="I106" i="48"/>
  <c r="J106" i="48" s="1"/>
  <c r="K106" i="48" s="1"/>
  <c r="N106" i="48" s="1"/>
  <c r="Q106" i="48" s="1"/>
  <c r="I105" i="48"/>
  <c r="J105" i="48" s="1"/>
  <c r="K105" i="48" s="1"/>
  <c r="N105" i="48" s="1"/>
  <c r="Q105" i="48" s="1"/>
  <c r="I104" i="48"/>
  <c r="J104" i="48" s="1"/>
  <c r="K104" i="48" s="1"/>
  <c r="N104" i="48" s="1"/>
  <c r="Q104" i="48" s="1"/>
  <c r="I103" i="48"/>
  <c r="J103" i="48" s="1"/>
  <c r="K103" i="48" s="1"/>
  <c r="N103" i="48" s="1"/>
  <c r="Q103" i="48" s="1"/>
  <c r="I102" i="48"/>
  <c r="J102" i="48" s="1"/>
  <c r="K102" i="48" s="1"/>
  <c r="N102" i="48" s="1"/>
  <c r="Q102" i="48" s="1"/>
  <c r="I101" i="48"/>
  <c r="J101" i="48" s="1"/>
  <c r="K101" i="48" s="1"/>
  <c r="N101" i="48" s="1"/>
  <c r="Q101" i="48" s="1"/>
  <c r="I100" i="48"/>
  <c r="J100" i="48" s="1"/>
  <c r="K100" i="48" s="1"/>
  <c r="N100" i="48" s="1"/>
  <c r="Q100" i="48" s="1"/>
  <c r="I99" i="48"/>
  <c r="J99" i="48" s="1"/>
  <c r="K99" i="48" s="1"/>
  <c r="N99" i="48" s="1"/>
  <c r="Q99" i="48" s="1"/>
  <c r="I98" i="48"/>
  <c r="J98" i="48" s="1"/>
  <c r="K98" i="48" s="1"/>
  <c r="N98" i="48" s="1"/>
  <c r="O98" i="48" s="1"/>
  <c r="I97" i="48"/>
  <c r="J97" i="48" s="1"/>
  <c r="K97" i="48" s="1"/>
  <c r="N97" i="48" s="1"/>
  <c r="Q97" i="48" s="1"/>
  <c r="I96" i="48"/>
  <c r="J96" i="48" s="1"/>
  <c r="K96" i="48" s="1"/>
  <c r="N96" i="48" s="1"/>
  <c r="O96" i="48" s="1"/>
  <c r="I95" i="48"/>
  <c r="J95" i="48" s="1"/>
  <c r="K95" i="48" s="1"/>
  <c r="N95" i="48" s="1"/>
  <c r="Q95" i="48" s="1"/>
  <c r="I94" i="48"/>
  <c r="J94" i="48" s="1"/>
  <c r="K94" i="48" s="1"/>
  <c r="N94" i="48" s="1"/>
  <c r="Q94" i="48" s="1"/>
  <c r="I93" i="48"/>
  <c r="J93" i="48" s="1"/>
  <c r="K93" i="48" s="1"/>
  <c r="N93" i="48" s="1"/>
  <c r="Q93" i="48" s="1"/>
  <c r="I92" i="48"/>
  <c r="J92" i="48" s="1"/>
  <c r="K92" i="48" s="1"/>
  <c r="N92" i="48" s="1"/>
  <c r="Q92" i="48" s="1"/>
  <c r="I91" i="48"/>
  <c r="J91" i="48" s="1"/>
  <c r="K91" i="48" s="1"/>
  <c r="N91" i="48" s="1"/>
  <c r="Q91" i="48" s="1"/>
  <c r="I90" i="48"/>
  <c r="J90" i="48" s="1"/>
  <c r="K90" i="48" s="1"/>
  <c r="N90" i="48" s="1"/>
  <c r="P90" i="48" s="1"/>
  <c r="I89" i="48"/>
  <c r="J89" i="48" s="1"/>
  <c r="K89" i="48" s="1"/>
  <c r="N89" i="48" s="1"/>
  <c r="P89" i="48" s="1"/>
  <c r="I88" i="48"/>
  <c r="J88" i="48" s="1"/>
  <c r="K88" i="48" s="1"/>
  <c r="N88" i="48" s="1"/>
  <c r="P88" i="48" s="1"/>
  <c r="I87" i="48"/>
  <c r="J87" i="48" s="1"/>
  <c r="K87" i="48" s="1"/>
  <c r="N87" i="48" s="1"/>
  <c r="P87" i="48" s="1"/>
  <c r="I86" i="48"/>
  <c r="J86" i="48" s="1"/>
  <c r="K86" i="48" s="1"/>
  <c r="N86" i="48" s="1"/>
  <c r="P86" i="48" s="1"/>
  <c r="I85" i="48"/>
  <c r="J85" i="48" s="1"/>
  <c r="K85" i="48" s="1"/>
  <c r="N85" i="48" s="1"/>
  <c r="P85" i="48" s="1"/>
  <c r="I84" i="48"/>
  <c r="J84" i="48" s="1"/>
  <c r="K84" i="48" s="1"/>
  <c r="N84" i="48" s="1"/>
  <c r="P84" i="48" s="1"/>
  <c r="I83" i="48"/>
  <c r="J83" i="48" s="1"/>
  <c r="K83" i="48" s="1"/>
  <c r="N83" i="48" s="1"/>
  <c r="P83" i="48" s="1"/>
  <c r="I82" i="48"/>
  <c r="J82" i="48" s="1"/>
  <c r="K82" i="48" s="1"/>
  <c r="N82" i="48" s="1"/>
  <c r="P82" i="48" s="1"/>
  <c r="I81" i="48"/>
  <c r="J81" i="48" s="1"/>
  <c r="K81" i="48" s="1"/>
  <c r="N81" i="48" s="1"/>
  <c r="P81" i="48" s="1"/>
  <c r="I80" i="48"/>
  <c r="J80" i="48" s="1"/>
  <c r="K80" i="48" s="1"/>
  <c r="N80" i="48" s="1"/>
  <c r="P80" i="48" s="1"/>
  <c r="I79" i="48"/>
  <c r="J79" i="48" s="1"/>
  <c r="K79" i="48" s="1"/>
  <c r="N79" i="48" s="1"/>
  <c r="P79" i="48" s="1"/>
  <c r="I78" i="48"/>
  <c r="J78" i="48" s="1"/>
  <c r="K78" i="48" s="1"/>
  <c r="N78" i="48" s="1"/>
  <c r="O78" i="48" s="1"/>
  <c r="I77" i="48"/>
  <c r="J77" i="48" s="1"/>
  <c r="K77" i="48" s="1"/>
  <c r="N77" i="48" s="1"/>
  <c r="O77" i="48" s="1"/>
  <c r="I76" i="48"/>
  <c r="J76" i="48" s="1"/>
  <c r="K76" i="48" s="1"/>
  <c r="N76" i="48" s="1"/>
  <c r="O76" i="48" s="1"/>
  <c r="I75" i="48"/>
  <c r="J75" i="48" s="1"/>
  <c r="K75" i="48" s="1"/>
  <c r="N75" i="48" s="1"/>
  <c r="O75" i="48" s="1"/>
  <c r="I74" i="48"/>
  <c r="J74" i="48" s="1"/>
  <c r="K74" i="48" s="1"/>
  <c r="N74" i="48" s="1"/>
  <c r="O74" i="48" s="1"/>
  <c r="I73" i="48"/>
  <c r="J73" i="48" s="1"/>
  <c r="K73" i="48" s="1"/>
  <c r="N73" i="48" s="1"/>
  <c r="O73" i="48" s="1"/>
  <c r="I72" i="48"/>
  <c r="J72" i="48" s="1"/>
  <c r="K72" i="48" s="1"/>
  <c r="N72" i="48" s="1"/>
  <c r="O72" i="48" s="1"/>
  <c r="I71" i="48"/>
  <c r="J71" i="48" s="1"/>
  <c r="K71" i="48" s="1"/>
  <c r="N71" i="48" s="1"/>
  <c r="O71" i="48" s="1"/>
  <c r="I70" i="48"/>
  <c r="J70" i="48" s="1"/>
  <c r="K70" i="48" s="1"/>
  <c r="N70" i="48" s="1"/>
  <c r="O70" i="48" s="1"/>
  <c r="I69" i="48"/>
  <c r="J69" i="48" s="1"/>
  <c r="K69" i="48" s="1"/>
  <c r="N69" i="48" s="1"/>
  <c r="O69" i="48" s="1"/>
  <c r="I68" i="48"/>
  <c r="J68" i="48" s="1"/>
  <c r="K68" i="48" s="1"/>
  <c r="N68" i="48" s="1"/>
  <c r="O68" i="48" s="1"/>
  <c r="I67" i="48"/>
  <c r="J67" i="48" s="1"/>
  <c r="K67" i="48" s="1"/>
  <c r="N67" i="48" s="1"/>
  <c r="O67" i="48" s="1"/>
  <c r="I66" i="48"/>
  <c r="J66" i="48" s="1"/>
  <c r="K66" i="48" s="1"/>
  <c r="N66" i="48" s="1"/>
  <c r="O66" i="48" s="1"/>
  <c r="I65" i="48"/>
  <c r="J65" i="48" s="1"/>
  <c r="K65" i="48" s="1"/>
  <c r="N65" i="48" s="1"/>
  <c r="O65" i="48" s="1"/>
  <c r="I64" i="48"/>
  <c r="J64" i="48" s="1"/>
  <c r="K64" i="48" s="1"/>
  <c r="N64" i="48" s="1"/>
  <c r="O64" i="48" s="1"/>
  <c r="I63" i="48"/>
  <c r="J63" i="48" s="1"/>
  <c r="K63" i="48" s="1"/>
  <c r="N63" i="48" s="1"/>
  <c r="O63" i="48" s="1"/>
  <c r="A63" i="48"/>
  <c r="I62" i="48"/>
  <c r="J62" i="48" s="1"/>
  <c r="K62" i="48" s="1"/>
  <c r="H61" i="48"/>
  <c r="H8" i="48" s="1"/>
  <c r="G61" i="48"/>
  <c r="F61" i="48"/>
  <c r="E61" i="48"/>
  <c r="D61" i="48"/>
  <c r="C61" i="48"/>
  <c r="J60" i="48"/>
  <c r="D60" i="48"/>
  <c r="I60" i="48" s="1"/>
  <c r="J59" i="48"/>
  <c r="D59" i="48"/>
  <c r="I59" i="48" s="1"/>
  <c r="J58" i="48"/>
  <c r="I58" i="48"/>
  <c r="J57" i="48"/>
  <c r="I57" i="48"/>
  <c r="J56" i="48"/>
  <c r="I56" i="48"/>
  <c r="J55" i="48"/>
  <c r="I55" i="48"/>
  <c r="J54" i="48"/>
  <c r="I54" i="48"/>
  <c r="J53" i="48"/>
  <c r="I53" i="48"/>
  <c r="J52" i="48"/>
  <c r="I52" i="48"/>
  <c r="J51" i="48"/>
  <c r="I51" i="48"/>
  <c r="J50" i="48"/>
  <c r="I50" i="48"/>
  <c r="J49" i="48"/>
  <c r="D49" i="48"/>
  <c r="J48" i="48"/>
  <c r="D48" i="48"/>
  <c r="J47" i="48"/>
  <c r="D47" i="48"/>
  <c r="J46" i="48"/>
  <c r="D46" i="48"/>
  <c r="I46" i="48" s="1"/>
  <c r="J45" i="48"/>
  <c r="D45" i="48"/>
  <c r="I45" i="48" s="1"/>
  <c r="J44" i="48"/>
  <c r="D44" i="48"/>
  <c r="I44" i="48" s="1"/>
  <c r="J43" i="48"/>
  <c r="D43" i="48"/>
  <c r="I43" i="48" s="1"/>
  <c r="J42" i="48"/>
  <c r="D42" i="48"/>
  <c r="I42" i="48" s="1"/>
  <c r="J41" i="48"/>
  <c r="D41" i="48"/>
  <c r="I41" i="48" s="1"/>
  <c r="J40" i="48"/>
  <c r="D40" i="48"/>
  <c r="I40" i="48" s="1"/>
  <c r="J39" i="48"/>
  <c r="D39" i="48"/>
  <c r="I39" i="48" s="1"/>
  <c r="J38" i="48"/>
  <c r="D38" i="48"/>
  <c r="I38" i="48" s="1"/>
  <c r="J37" i="48"/>
  <c r="D37" i="48"/>
  <c r="I37" i="48" s="1"/>
  <c r="J36" i="48"/>
  <c r="D36" i="48"/>
  <c r="I36" i="48" s="1"/>
  <c r="J35" i="48"/>
  <c r="D35" i="48"/>
  <c r="I35" i="48" s="1"/>
  <c r="J34" i="48"/>
  <c r="D34" i="48"/>
  <c r="I34" i="48" s="1"/>
  <c r="J33" i="48"/>
  <c r="D33" i="48"/>
  <c r="I33" i="48" s="1"/>
  <c r="J32" i="48"/>
  <c r="D32" i="48"/>
  <c r="I32" i="48" s="1"/>
  <c r="J31" i="48"/>
  <c r="D31" i="48"/>
  <c r="I31" i="48" s="1"/>
  <c r="J30" i="48"/>
  <c r="D30" i="48"/>
  <c r="I30" i="48" s="1"/>
  <c r="J29" i="48"/>
  <c r="D29" i="48"/>
  <c r="I29" i="48" s="1"/>
  <c r="J28" i="48"/>
  <c r="D28" i="48"/>
  <c r="I28" i="48" s="1"/>
  <c r="J27" i="48"/>
  <c r="D27" i="48"/>
  <c r="I27" i="48" s="1"/>
  <c r="J26" i="48"/>
  <c r="D26" i="48"/>
  <c r="I26" i="48" s="1"/>
  <c r="J25" i="48"/>
  <c r="D25" i="48"/>
  <c r="I25" i="48" s="1"/>
  <c r="J24" i="48"/>
  <c r="D24" i="48"/>
  <c r="I24" i="48" s="1"/>
  <c r="J23" i="48"/>
  <c r="D23" i="48"/>
  <c r="I23" i="48" s="1"/>
  <c r="J22" i="48"/>
  <c r="D22" i="48"/>
  <c r="I22" i="48" s="1"/>
  <c r="J21" i="48"/>
  <c r="D21" i="48"/>
  <c r="I21" i="48" s="1"/>
  <c r="J20" i="48"/>
  <c r="D20" i="48"/>
  <c r="I20" i="48" s="1"/>
  <c r="J19" i="48"/>
  <c r="D19" i="48"/>
  <c r="I19" i="48" s="1"/>
  <c r="J18" i="48"/>
  <c r="D18" i="48"/>
  <c r="I18" i="48" s="1"/>
  <c r="J17" i="48"/>
  <c r="D17" i="48"/>
  <c r="I17" i="48" s="1"/>
  <c r="J16" i="48"/>
  <c r="D16" i="48"/>
  <c r="I16" i="48" s="1"/>
  <c r="J15" i="48"/>
  <c r="D15" i="48"/>
  <c r="I15" i="48" s="1"/>
  <c r="J14" i="48"/>
  <c r="D14" i="48"/>
  <c r="I14" i="48" s="1"/>
  <c r="J13" i="48"/>
  <c r="D13" i="48"/>
  <c r="I13" i="48" s="1"/>
  <c r="J12" i="48"/>
  <c r="D12" i="48"/>
  <c r="I12" i="48" s="1"/>
  <c r="J11" i="48"/>
  <c r="D11" i="48"/>
  <c r="I11" i="48" s="1"/>
  <c r="J10" i="48"/>
  <c r="D10" i="48"/>
  <c r="I10" i="48" s="1"/>
  <c r="J9" i="48"/>
  <c r="D9" i="48"/>
  <c r="I9" i="48" s="1"/>
  <c r="Q8" i="48"/>
  <c r="F8" i="48"/>
  <c r="F153" i="48" s="1"/>
  <c r="E8" i="48"/>
  <c r="E153" i="48" s="1"/>
  <c r="C8" i="48"/>
  <c r="J17" i="25"/>
  <c r="G15" i="25"/>
  <c r="H15" i="25" s="1"/>
  <c r="F35" i="15"/>
  <c r="F36" i="15"/>
  <c r="F37" i="15"/>
  <c r="D39" i="15"/>
  <c r="E39" i="15"/>
  <c r="C38" i="15"/>
  <c r="C31" i="15" s="1"/>
  <c r="F34" i="15"/>
  <c r="F33" i="15"/>
  <c r="F32" i="15"/>
  <c r="D26" i="15"/>
  <c r="F26" i="15" s="1"/>
  <c r="D25" i="15"/>
  <c r="F25" i="15" s="1"/>
  <c r="D24" i="15"/>
  <c r="E29" i="15"/>
  <c r="F29" i="15" s="1"/>
  <c r="E24" i="15"/>
  <c r="E15" i="15"/>
  <c r="F15" i="15" s="1"/>
  <c r="E6" i="15"/>
  <c r="F16" i="15"/>
  <c r="F18" i="15"/>
  <c r="F40" i="15"/>
  <c r="F41" i="15"/>
  <c r="D14" i="15"/>
  <c r="D23" i="15" s="1"/>
  <c r="D13" i="15"/>
  <c r="F8" i="15"/>
  <c r="F9" i="15"/>
  <c r="F10" i="15"/>
  <c r="D6" i="15"/>
  <c r="E30" i="15"/>
  <c r="F30" i="15" s="1"/>
  <c r="I15" i="25" l="1"/>
  <c r="I49" i="48"/>
  <c r="K49" i="48" s="1"/>
  <c r="N49" i="48" s="1"/>
  <c r="O49" i="48"/>
  <c r="D12" i="15"/>
  <c r="D11" i="15" s="1"/>
  <c r="J15" i="25"/>
  <c r="I48" i="48"/>
  <c r="K48" i="48" s="1"/>
  <c r="N48" i="48" s="1"/>
  <c r="O48" i="48"/>
  <c r="K42" i="48"/>
  <c r="N42" i="48" s="1"/>
  <c r="O42" i="48" s="1"/>
  <c r="K46" i="48"/>
  <c r="N46" i="48" s="1"/>
  <c r="O46" i="48" s="1"/>
  <c r="I47" i="48"/>
  <c r="K47" i="48" s="1"/>
  <c r="N47" i="48" s="1"/>
  <c r="O47" i="48"/>
  <c r="K9" i="48"/>
  <c r="N9" i="48" s="1"/>
  <c r="G8" i="48"/>
  <c r="G153" i="48" s="1"/>
  <c r="K41" i="48"/>
  <c r="N41" i="48" s="1"/>
  <c r="O41" i="48" s="1"/>
  <c r="P118" i="48"/>
  <c r="K34" i="48"/>
  <c r="N34" i="48" s="1"/>
  <c r="O34" i="48" s="1"/>
  <c r="K38" i="48"/>
  <c r="N38" i="48" s="1"/>
  <c r="O38" i="48" s="1"/>
  <c r="C153" i="48"/>
  <c r="K37" i="48"/>
  <c r="N37" i="48" s="1"/>
  <c r="O37" i="48" s="1"/>
  <c r="I118" i="48"/>
  <c r="K57" i="48"/>
  <c r="N57" i="48" s="1"/>
  <c r="K39" i="48"/>
  <c r="N39" i="48" s="1"/>
  <c r="O39" i="48" s="1"/>
  <c r="K17" i="48"/>
  <c r="N17" i="48" s="1"/>
  <c r="O17" i="48" s="1"/>
  <c r="K59" i="48"/>
  <c r="N59" i="48" s="1"/>
  <c r="O59" i="48" s="1"/>
  <c r="K26" i="48"/>
  <c r="N26" i="48" s="1"/>
  <c r="O26" i="48" s="1"/>
  <c r="K53" i="48"/>
  <c r="N53" i="48" s="1"/>
  <c r="K25" i="48"/>
  <c r="N25" i="48" s="1"/>
  <c r="O25" i="48" s="1"/>
  <c r="K29" i="48"/>
  <c r="N29" i="48" s="1"/>
  <c r="O29" i="48" s="1"/>
  <c r="K45" i="48"/>
  <c r="N45" i="48" s="1"/>
  <c r="O45" i="48" s="1"/>
  <c r="K28" i="48"/>
  <c r="N28" i="48" s="1"/>
  <c r="O28" i="48" s="1"/>
  <c r="K33" i="48"/>
  <c r="N33" i="48" s="1"/>
  <c r="O33" i="48" s="1"/>
  <c r="I61" i="48"/>
  <c r="K12" i="48"/>
  <c r="N12" i="48" s="1"/>
  <c r="O12" i="48" s="1"/>
  <c r="K23" i="48"/>
  <c r="N23" i="48" s="1"/>
  <c r="O23" i="48" s="1"/>
  <c r="K30" i="48"/>
  <c r="N30" i="48" s="1"/>
  <c r="O30" i="48" s="1"/>
  <c r="K36" i="48"/>
  <c r="N36" i="48" s="1"/>
  <c r="O36" i="48" s="1"/>
  <c r="K44" i="48"/>
  <c r="N44" i="48" s="1"/>
  <c r="O44" i="48" s="1"/>
  <c r="K13" i="48"/>
  <c r="N13" i="48" s="1"/>
  <c r="O13" i="48" s="1"/>
  <c r="K16" i="48"/>
  <c r="N16" i="48" s="1"/>
  <c r="O16" i="48" s="1"/>
  <c r="K31" i="48"/>
  <c r="N31" i="48" s="1"/>
  <c r="O31" i="48" s="1"/>
  <c r="K50" i="48"/>
  <c r="N50" i="48" s="1"/>
  <c r="P50" i="48" s="1"/>
  <c r="K20" i="48"/>
  <c r="N20" i="48" s="1"/>
  <c r="O20" i="48" s="1"/>
  <c r="J8" i="48"/>
  <c r="K21" i="48"/>
  <c r="N21" i="48" s="1"/>
  <c r="O21" i="48" s="1"/>
  <c r="K24" i="48"/>
  <c r="N24" i="48" s="1"/>
  <c r="O24" i="48" s="1"/>
  <c r="K35" i="48"/>
  <c r="N35" i="48" s="1"/>
  <c r="O35" i="48" s="1"/>
  <c r="K40" i="48"/>
  <c r="N40" i="48" s="1"/>
  <c r="O40" i="48" s="1"/>
  <c r="K43" i="48"/>
  <c r="N43" i="48" s="1"/>
  <c r="O43" i="48" s="1"/>
  <c r="K51" i="48"/>
  <c r="N51" i="48" s="1"/>
  <c r="P51" i="48" s="1"/>
  <c r="K55" i="48"/>
  <c r="N55" i="48" s="1"/>
  <c r="K58" i="48"/>
  <c r="N58" i="48" s="1"/>
  <c r="K11" i="48"/>
  <c r="N11" i="48" s="1"/>
  <c r="O11" i="48" s="1"/>
  <c r="K18" i="48"/>
  <c r="N18" i="48" s="1"/>
  <c r="O18" i="48" s="1"/>
  <c r="K32" i="48"/>
  <c r="N32" i="48" s="1"/>
  <c r="O32" i="48" s="1"/>
  <c r="K52" i="48"/>
  <c r="N52" i="48" s="1"/>
  <c r="K56" i="48"/>
  <c r="N56" i="48" s="1"/>
  <c r="C85" i="6"/>
  <c r="F139" i="6"/>
  <c r="F85" i="6"/>
  <c r="Q61" i="48"/>
  <c r="Q118" i="48"/>
  <c r="K27" i="48"/>
  <c r="N27" i="48" s="1"/>
  <c r="O27" i="48" s="1"/>
  <c r="N62" i="48"/>
  <c r="K61" i="48"/>
  <c r="K14" i="48"/>
  <c r="N14" i="48" s="1"/>
  <c r="O14" i="48" s="1"/>
  <c r="K15" i="48"/>
  <c r="N15" i="48" s="1"/>
  <c r="O15" i="48" s="1"/>
  <c r="K22" i="48"/>
  <c r="N22" i="48" s="1"/>
  <c r="O22" i="48" s="1"/>
  <c r="K10" i="48"/>
  <c r="N10" i="48" s="1"/>
  <c r="O10" i="48" s="1"/>
  <c r="P61" i="48"/>
  <c r="I8" i="48"/>
  <c r="K19" i="48"/>
  <c r="N19" i="48" s="1"/>
  <c r="O19" i="48" s="1"/>
  <c r="K60" i="48"/>
  <c r="N60" i="48" s="1"/>
  <c r="O60" i="48" s="1"/>
  <c r="D8" i="48"/>
  <c r="D153" i="48" s="1"/>
  <c r="K120" i="48"/>
  <c r="K54" i="48"/>
  <c r="N54" i="48" s="1"/>
  <c r="J61" i="48"/>
  <c r="F14" i="15"/>
  <c r="E21" i="15"/>
  <c r="E20" i="15"/>
  <c r="F24" i="15"/>
  <c r="F7" i="15"/>
  <c r="F6" i="15" s="1"/>
  <c r="D22" i="15"/>
  <c r="E12" i="15"/>
  <c r="E11" i="15" s="1"/>
  <c r="P48" i="48" l="1"/>
  <c r="I153" i="48"/>
  <c r="P47" i="48"/>
  <c r="P49" i="48"/>
  <c r="D20" i="15"/>
  <c r="D19" i="15" s="1"/>
  <c r="Q153" i="48"/>
  <c r="F10" i="17" s="1"/>
  <c r="P52" i="48"/>
  <c r="P55" i="48"/>
  <c r="P54" i="48"/>
  <c r="P57" i="48"/>
  <c r="P58" i="48"/>
  <c r="P53" i="48"/>
  <c r="P56" i="48"/>
  <c r="J153" i="48"/>
  <c r="K8" i="48"/>
  <c r="O9" i="48"/>
  <c r="N8" i="48"/>
  <c r="O62" i="48"/>
  <c r="O61" i="48" s="1"/>
  <c r="N61" i="48"/>
  <c r="K118" i="48"/>
  <c r="N120" i="48"/>
  <c r="F21" i="15"/>
  <c r="E19" i="15"/>
  <c r="D28" i="15" l="1"/>
  <c r="D27" i="15" s="1"/>
  <c r="O8" i="48"/>
  <c r="D8" i="17" s="1"/>
  <c r="P8" i="48"/>
  <c r="P153" i="48" s="1"/>
  <c r="E9" i="17" s="1"/>
  <c r="K153" i="48"/>
  <c r="N118" i="48"/>
  <c r="N153" i="48" s="1"/>
  <c r="O120" i="48"/>
  <c r="O118" i="48" s="1"/>
  <c r="F38" i="15"/>
  <c r="F31" i="15" s="1"/>
  <c r="E31" i="15"/>
  <c r="E28" i="15"/>
  <c r="E27" i="15" s="1"/>
  <c r="O153" i="48" l="1"/>
  <c r="D76" i="6"/>
  <c r="E9" i="24"/>
  <c r="F7" i="21" s="1"/>
  <c r="E8" i="24"/>
  <c r="F6" i="21" s="1"/>
  <c r="C149" i="6"/>
  <c r="C148" i="6"/>
  <c r="C147" i="6"/>
  <c r="C146" i="6"/>
  <c r="D136" i="6"/>
  <c r="D134" i="6" s="1"/>
  <c r="E134" i="6"/>
  <c r="C135" i="6"/>
  <c r="C40" i="6"/>
  <c r="C39" i="6"/>
  <c r="C116" i="6"/>
  <c r="C117" i="6"/>
  <c r="C118" i="6"/>
  <c r="E115" i="6"/>
  <c r="F115" i="6"/>
  <c r="D115" i="6"/>
  <c r="C119" i="6"/>
  <c r="C120" i="6"/>
  <c r="C121" i="6"/>
  <c r="C122" i="6"/>
  <c r="C123" i="6"/>
  <c r="C124" i="6"/>
  <c r="C125" i="6"/>
  <c r="C126" i="6"/>
  <c r="C127" i="6"/>
  <c r="C128" i="6"/>
  <c r="C129" i="6"/>
  <c r="C130" i="6"/>
  <c r="C131" i="6"/>
  <c r="C132" i="6"/>
  <c r="C133" i="6"/>
  <c r="C136" i="6" l="1"/>
  <c r="C115" i="6"/>
  <c r="D45" i="6" l="1"/>
  <c r="P8" i="19"/>
  <c r="Q8" i="19"/>
  <c r="J118" i="19"/>
  <c r="L118" i="19"/>
  <c r="M118" i="19"/>
  <c r="D11" i="6"/>
  <c r="C11" i="6" s="1"/>
  <c r="C8" i="19"/>
  <c r="I80" i="19"/>
  <c r="J80" i="19" s="1"/>
  <c r="K80" i="19" s="1"/>
  <c r="N80" i="19" s="1"/>
  <c r="I81" i="19"/>
  <c r="J81" i="19" s="1"/>
  <c r="I82" i="19"/>
  <c r="J82" i="19" s="1"/>
  <c r="K82" i="19" s="1"/>
  <c r="N82" i="19" s="1"/>
  <c r="I83" i="19"/>
  <c r="J83" i="19" s="1"/>
  <c r="I84" i="19"/>
  <c r="J84" i="19" s="1"/>
  <c r="K84" i="19" s="1"/>
  <c r="N84" i="19" s="1"/>
  <c r="I85" i="19"/>
  <c r="J85" i="19" s="1"/>
  <c r="I86" i="19"/>
  <c r="J86" i="19" s="1"/>
  <c r="K86" i="19" s="1"/>
  <c r="N86" i="19" s="1"/>
  <c r="I87" i="19"/>
  <c r="I88" i="19"/>
  <c r="J88" i="19" s="1"/>
  <c r="K88" i="19" s="1"/>
  <c r="N88" i="19" s="1"/>
  <c r="I89" i="19"/>
  <c r="J89" i="19" s="1"/>
  <c r="I90" i="19"/>
  <c r="J90" i="19" s="1"/>
  <c r="K90" i="19" s="1"/>
  <c r="N90" i="19" s="1"/>
  <c r="I91" i="19"/>
  <c r="J91" i="19" s="1"/>
  <c r="I92" i="19"/>
  <c r="J92" i="19" s="1"/>
  <c r="K92" i="19" s="1"/>
  <c r="N92" i="19" s="1"/>
  <c r="I93" i="19"/>
  <c r="J93" i="19" s="1"/>
  <c r="I94" i="19"/>
  <c r="J94" i="19" s="1"/>
  <c r="K94" i="19" s="1"/>
  <c r="N94" i="19" s="1"/>
  <c r="I95" i="19"/>
  <c r="I96" i="19"/>
  <c r="J96" i="19" s="1"/>
  <c r="K96" i="19" s="1"/>
  <c r="N96" i="19" s="1"/>
  <c r="O96" i="19" s="1"/>
  <c r="I97" i="19"/>
  <c r="J97" i="19" s="1"/>
  <c r="I98" i="19"/>
  <c r="J98" i="19" s="1"/>
  <c r="K98" i="19" s="1"/>
  <c r="N98" i="19" s="1"/>
  <c r="O98" i="19" s="1"/>
  <c r="I99" i="19"/>
  <c r="J99" i="19" s="1"/>
  <c r="I100" i="19"/>
  <c r="J100" i="19" s="1"/>
  <c r="K100" i="19" s="1"/>
  <c r="N100" i="19" s="1"/>
  <c r="I101" i="19"/>
  <c r="J101" i="19" s="1"/>
  <c r="I102" i="19"/>
  <c r="J102" i="19" s="1"/>
  <c r="K102" i="19" s="1"/>
  <c r="N102" i="19" s="1"/>
  <c r="I103" i="19"/>
  <c r="I104" i="19"/>
  <c r="J104" i="19" s="1"/>
  <c r="K104" i="19" s="1"/>
  <c r="N104" i="19" s="1"/>
  <c r="I105" i="19"/>
  <c r="J105" i="19" s="1"/>
  <c r="I106" i="19"/>
  <c r="J106" i="19" s="1"/>
  <c r="K106" i="19" s="1"/>
  <c r="N106" i="19" s="1"/>
  <c r="I107" i="19"/>
  <c r="J107" i="19" s="1"/>
  <c r="I108" i="19"/>
  <c r="J108" i="19" s="1"/>
  <c r="K108" i="19" s="1"/>
  <c r="N108" i="19" s="1"/>
  <c r="O108" i="19" s="1"/>
  <c r="I109" i="19"/>
  <c r="J109" i="19" s="1"/>
  <c r="I110" i="19"/>
  <c r="J110" i="19" s="1"/>
  <c r="K110" i="19" s="1"/>
  <c r="N110" i="19" s="1"/>
  <c r="O110" i="19" s="1"/>
  <c r="I111" i="19"/>
  <c r="J111" i="19" s="1"/>
  <c r="K111" i="19" s="1"/>
  <c r="N111" i="19" s="1"/>
  <c r="O111" i="19" s="1"/>
  <c r="I112" i="19"/>
  <c r="J112" i="19" s="1"/>
  <c r="K112" i="19" s="1"/>
  <c r="N112" i="19" s="1"/>
  <c r="O112" i="19" s="1"/>
  <c r="I113" i="19"/>
  <c r="J113" i="19" s="1"/>
  <c r="K113" i="19" s="1"/>
  <c r="N113" i="19" s="1"/>
  <c r="O113" i="19" s="1"/>
  <c r="I114" i="19"/>
  <c r="J114" i="19" s="1"/>
  <c r="K114" i="19" s="1"/>
  <c r="N114" i="19" s="1"/>
  <c r="O114" i="19" s="1"/>
  <c r="I115" i="19"/>
  <c r="J115" i="19" s="1"/>
  <c r="K115" i="19" s="1"/>
  <c r="N115" i="19" s="1"/>
  <c r="O115" i="19" s="1"/>
  <c r="I116" i="19"/>
  <c r="J116" i="19" s="1"/>
  <c r="K116" i="19" s="1"/>
  <c r="N116" i="19" s="1"/>
  <c r="O116" i="19" s="1"/>
  <c r="I117" i="19"/>
  <c r="J117" i="19" s="1"/>
  <c r="I79" i="19"/>
  <c r="L61" i="19"/>
  <c r="I73" i="19"/>
  <c r="J73" i="19" s="1"/>
  <c r="K73" i="19" s="1"/>
  <c r="N73" i="19" s="1"/>
  <c r="I74" i="19"/>
  <c r="J74" i="19" s="1"/>
  <c r="K74" i="19" s="1"/>
  <c r="N74" i="19" s="1"/>
  <c r="I75" i="19"/>
  <c r="J75" i="19" s="1"/>
  <c r="K75" i="19" s="1"/>
  <c r="I76" i="19"/>
  <c r="J76" i="19" s="1"/>
  <c r="K76" i="19" s="1"/>
  <c r="N76" i="19" s="1"/>
  <c r="I77" i="19"/>
  <c r="J77" i="19" s="1"/>
  <c r="I78" i="19"/>
  <c r="J78" i="19" s="1"/>
  <c r="K78" i="19" s="1"/>
  <c r="N78" i="19" s="1"/>
  <c r="O78" i="19" s="1"/>
  <c r="I63" i="19"/>
  <c r="J63" i="19" s="1"/>
  <c r="K63" i="19" s="1"/>
  <c r="N63" i="19" s="1"/>
  <c r="I64" i="19"/>
  <c r="J64" i="19" s="1"/>
  <c r="I65" i="19"/>
  <c r="J65" i="19" s="1"/>
  <c r="K65" i="19" s="1"/>
  <c r="N65" i="19" s="1"/>
  <c r="I66" i="19"/>
  <c r="J66" i="19" s="1"/>
  <c r="K66" i="19" s="1"/>
  <c r="N66" i="19" s="1"/>
  <c r="I67" i="19"/>
  <c r="J67" i="19" s="1"/>
  <c r="K67" i="19" s="1"/>
  <c r="N67" i="19" s="1"/>
  <c r="I68" i="19"/>
  <c r="J68" i="19" s="1"/>
  <c r="K68" i="19" s="1"/>
  <c r="N68" i="19" s="1"/>
  <c r="I69" i="19"/>
  <c r="J69" i="19" s="1"/>
  <c r="K69" i="19" s="1"/>
  <c r="N69" i="19" s="1"/>
  <c r="I70" i="19"/>
  <c r="J70" i="19" s="1"/>
  <c r="K70" i="19" s="1"/>
  <c r="N70" i="19" s="1"/>
  <c r="I71" i="19"/>
  <c r="J71" i="19" s="1"/>
  <c r="K71" i="19" s="1"/>
  <c r="N71" i="19" s="1"/>
  <c r="I72" i="19"/>
  <c r="J72" i="19" s="1"/>
  <c r="K72" i="19" s="1"/>
  <c r="N72" i="19" s="1"/>
  <c r="I62" i="19"/>
  <c r="J62" i="19" s="1"/>
  <c r="K62" i="19" s="1"/>
  <c r="N62" i="19" s="1"/>
  <c r="O62" i="19" s="1"/>
  <c r="H61" i="19"/>
  <c r="H8" i="19" s="1"/>
  <c r="J46" i="19"/>
  <c r="J47" i="19"/>
  <c r="J48" i="19"/>
  <c r="J49" i="19"/>
  <c r="J50" i="19"/>
  <c r="J51" i="19"/>
  <c r="J52" i="19"/>
  <c r="J53" i="19"/>
  <c r="J54" i="19"/>
  <c r="J55" i="19"/>
  <c r="J56" i="19"/>
  <c r="J57" i="19"/>
  <c r="J58" i="19"/>
  <c r="J59" i="19"/>
  <c r="J60" i="19"/>
  <c r="I50" i="19"/>
  <c r="I51" i="19"/>
  <c r="I52" i="19"/>
  <c r="I53" i="19"/>
  <c r="I54" i="19"/>
  <c r="I55" i="19"/>
  <c r="I56" i="19"/>
  <c r="I57" i="19"/>
  <c r="I58" i="19"/>
  <c r="J10" i="19"/>
  <c r="J11" i="19"/>
  <c r="J12" i="19"/>
  <c r="J13" i="19"/>
  <c r="J14" i="19"/>
  <c r="J15" i="19"/>
  <c r="J16" i="19"/>
  <c r="J17" i="19"/>
  <c r="J18" i="19"/>
  <c r="J19" i="19"/>
  <c r="J20" i="19"/>
  <c r="J21" i="19"/>
  <c r="J22" i="19"/>
  <c r="J23" i="19"/>
  <c r="J24" i="19"/>
  <c r="J25" i="19"/>
  <c r="J26" i="19"/>
  <c r="J27" i="19"/>
  <c r="J28" i="19"/>
  <c r="J29" i="19"/>
  <c r="J30" i="19"/>
  <c r="J31" i="19"/>
  <c r="J32" i="19"/>
  <c r="J33" i="19"/>
  <c r="J34" i="19"/>
  <c r="J35" i="19"/>
  <c r="J36" i="19"/>
  <c r="J37" i="19"/>
  <c r="J38" i="19"/>
  <c r="J39" i="19"/>
  <c r="J40" i="19"/>
  <c r="J41" i="19"/>
  <c r="J42" i="19"/>
  <c r="J43" i="19"/>
  <c r="J44" i="19"/>
  <c r="J45" i="19"/>
  <c r="J9" i="19"/>
  <c r="D25" i="19"/>
  <c r="I25" i="19" s="1"/>
  <c r="D40" i="19"/>
  <c r="I40" i="19" s="1"/>
  <c r="K40" i="19" s="1"/>
  <c r="N40" i="19" s="1"/>
  <c r="D41" i="19"/>
  <c r="I41" i="19" s="1"/>
  <c r="D42" i="19"/>
  <c r="I42" i="19" s="1"/>
  <c r="D43" i="19"/>
  <c r="I43" i="19" s="1"/>
  <c r="D44" i="19"/>
  <c r="I44" i="19" s="1"/>
  <c r="K44" i="19" s="1"/>
  <c r="N44" i="19" s="1"/>
  <c r="D45" i="19"/>
  <c r="I45" i="19" s="1"/>
  <c r="D46" i="19"/>
  <c r="I46" i="19" s="1"/>
  <c r="D31" i="19"/>
  <c r="I31" i="19" s="1"/>
  <c r="K31" i="19" s="1"/>
  <c r="N31" i="19" s="1"/>
  <c r="D32" i="19"/>
  <c r="I32" i="19" s="1"/>
  <c r="D33" i="19"/>
  <c r="I33" i="19" s="1"/>
  <c r="D34" i="19"/>
  <c r="I34" i="19" s="1"/>
  <c r="D35" i="19"/>
  <c r="I35" i="19" s="1"/>
  <c r="K35" i="19" s="1"/>
  <c r="N35" i="19" s="1"/>
  <c r="D36" i="19"/>
  <c r="I36" i="19" s="1"/>
  <c r="K36" i="19" s="1"/>
  <c r="N36" i="19" s="1"/>
  <c r="D37" i="19"/>
  <c r="I37" i="19" s="1"/>
  <c r="D38" i="19"/>
  <c r="I38" i="19" s="1"/>
  <c r="K38" i="19" s="1"/>
  <c r="N38" i="19" s="1"/>
  <c r="D39" i="19"/>
  <c r="I39" i="19" s="1"/>
  <c r="D22" i="19"/>
  <c r="I22" i="19" s="1"/>
  <c r="D23" i="19"/>
  <c r="I23" i="19" s="1"/>
  <c r="D24" i="19"/>
  <c r="I24" i="19" s="1"/>
  <c r="D26" i="19"/>
  <c r="I26" i="19" s="1"/>
  <c r="D27" i="19"/>
  <c r="I27" i="19" s="1"/>
  <c r="D28" i="19"/>
  <c r="I28" i="19" s="1"/>
  <c r="D29" i="19"/>
  <c r="I29" i="19" s="1"/>
  <c r="D30" i="19"/>
  <c r="I30" i="19" s="1"/>
  <c r="D10" i="19"/>
  <c r="I10" i="19" s="1"/>
  <c r="D11" i="19"/>
  <c r="I11" i="19" s="1"/>
  <c r="D12" i="19"/>
  <c r="I12" i="19" s="1"/>
  <c r="D13" i="19"/>
  <c r="I13" i="19" s="1"/>
  <c r="D14" i="19"/>
  <c r="I14" i="19" s="1"/>
  <c r="D15" i="19"/>
  <c r="I15" i="19" s="1"/>
  <c r="D16" i="19"/>
  <c r="I16" i="19" s="1"/>
  <c r="D17" i="19"/>
  <c r="I17" i="19" s="1"/>
  <c r="K17" i="19" s="1"/>
  <c r="N17" i="19" s="1"/>
  <c r="D18" i="19"/>
  <c r="I18" i="19" s="1"/>
  <c r="D19" i="19"/>
  <c r="I19" i="19" s="1"/>
  <c r="D20" i="19"/>
  <c r="I20" i="19" s="1"/>
  <c r="D21" i="19"/>
  <c r="I21" i="19" s="1"/>
  <c r="D9" i="19"/>
  <c r="I9" i="19" s="1"/>
  <c r="D47" i="19"/>
  <c r="I47" i="19" s="1"/>
  <c r="D48" i="19"/>
  <c r="I48" i="19" s="1"/>
  <c r="K48" i="19" s="1"/>
  <c r="N48" i="19" s="1"/>
  <c r="D49" i="19"/>
  <c r="I49" i="19" s="1"/>
  <c r="D59" i="19"/>
  <c r="I59" i="19" s="1"/>
  <c r="D60" i="19"/>
  <c r="I60" i="19" s="1"/>
  <c r="G14" i="25"/>
  <c r="G16" i="25"/>
  <c r="G10" i="25"/>
  <c r="G11" i="25"/>
  <c r="C7" i="25"/>
  <c r="K52" i="19" l="1"/>
  <c r="N52" i="19" s="1"/>
  <c r="K15" i="19"/>
  <c r="N15" i="19" s="1"/>
  <c r="K27" i="19"/>
  <c r="N27" i="19" s="1"/>
  <c r="K18" i="19"/>
  <c r="N18" i="19" s="1"/>
  <c r="K60" i="19"/>
  <c r="N60" i="19" s="1"/>
  <c r="O60" i="19" s="1"/>
  <c r="K19" i="19"/>
  <c r="N19" i="19" s="1"/>
  <c r="K23" i="19"/>
  <c r="N23" i="19" s="1"/>
  <c r="K9" i="19"/>
  <c r="N9" i="19" s="1"/>
  <c r="K28" i="19"/>
  <c r="N28" i="19" s="1"/>
  <c r="K26" i="19"/>
  <c r="N26" i="19" s="1"/>
  <c r="K50" i="19"/>
  <c r="N50" i="19" s="1"/>
  <c r="J8" i="19"/>
  <c r="K42" i="19"/>
  <c r="N42" i="19" s="1"/>
  <c r="K22" i="19"/>
  <c r="N22" i="19" s="1"/>
  <c r="K34" i="19"/>
  <c r="N34" i="19" s="1"/>
  <c r="K10" i="19"/>
  <c r="N10" i="19" s="1"/>
  <c r="K29" i="19"/>
  <c r="N29" i="19" s="1"/>
  <c r="K13" i="19"/>
  <c r="N13" i="19" s="1"/>
  <c r="K58" i="19"/>
  <c r="N58" i="19" s="1"/>
  <c r="K25" i="19"/>
  <c r="N25" i="19" s="1"/>
  <c r="K21" i="19"/>
  <c r="N21" i="19" s="1"/>
  <c r="K30" i="19"/>
  <c r="N30" i="19" s="1"/>
  <c r="K56" i="19"/>
  <c r="N56" i="19" s="1"/>
  <c r="K54" i="19"/>
  <c r="N54" i="19" s="1"/>
  <c r="K46" i="19"/>
  <c r="N46" i="19" s="1"/>
  <c r="O46" i="19" s="1"/>
  <c r="I16" i="25"/>
  <c r="J16" i="25"/>
  <c r="H16" i="25"/>
  <c r="K20" i="19"/>
  <c r="N20" i="19" s="1"/>
  <c r="K24" i="19"/>
  <c r="N24" i="19" s="1"/>
  <c r="K32" i="19"/>
  <c r="N32" i="19" s="1"/>
  <c r="K16" i="19"/>
  <c r="N16" i="19" s="1"/>
  <c r="K14" i="19"/>
  <c r="N14" i="19" s="1"/>
  <c r="K12" i="19"/>
  <c r="N12" i="19" s="1"/>
  <c r="K64" i="19"/>
  <c r="N64" i="19" s="1"/>
  <c r="K77" i="19"/>
  <c r="N77" i="19" s="1"/>
  <c r="K117" i="19"/>
  <c r="N117" i="19" s="1"/>
  <c r="O117" i="19" s="1"/>
  <c r="K101" i="19"/>
  <c r="N101" i="19" s="1"/>
  <c r="K93" i="19"/>
  <c r="N93" i="19" s="1"/>
  <c r="K85" i="19"/>
  <c r="N85" i="19" s="1"/>
  <c r="K105" i="19"/>
  <c r="N105" i="19" s="1"/>
  <c r="K97" i="19"/>
  <c r="N97" i="19" s="1"/>
  <c r="K89" i="19"/>
  <c r="N89" i="19" s="1"/>
  <c r="K81" i="19"/>
  <c r="N81" i="19" s="1"/>
  <c r="K107" i="19"/>
  <c r="N107" i="19" s="1"/>
  <c r="O107" i="19" s="1"/>
  <c r="K99" i="19"/>
  <c r="N99" i="19" s="1"/>
  <c r="K91" i="19"/>
  <c r="N91" i="19" s="1"/>
  <c r="K83" i="19"/>
  <c r="N83" i="19" s="1"/>
  <c r="J103" i="19"/>
  <c r="K103" i="19" s="1"/>
  <c r="N103" i="19" s="1"/>
  <c r="J95" i="19"/>
  <c r="K95" i="19" s="1"/>
  <c r="N95" i="19" s="1"/>
  <c r="J87" i="19"/>
  <c r="K87" i="19" s="1"/>
  <c r="N87" i="19" s="1"/>
  <c r="J79" i="19"/>
  <c r="K79" i="19" s="1"/>
  <c r="N79" i="19" s="1"/>
  <c r="N75" i="19"/>
  <c r="K57" i="19"/>
  <c r="N57" i="19" s="1"/>
  <c r="K55" i="19"/>
  <c r="N55" i="19" s="1"/>
  <c r="K53" i="19"/>
  <c r="N53" i="19" s="1"/>
  <c r="K51" i="19"/>
  <c r="N51" i="19" s="1"/>
  <c r="K49" i="19"/>
  <c r="N49" i="19" s="1"/>
  <c r="K47" i="19"/>
  <c r="N47" i="19" s="1"/>
  <c r="K45" i="19"/>
  <c r="N45" i="19" s="1"/>
  <c r="K43" i="19"/>
  <c r="N43" i="19" s="1"/>
  <c r="K41" i="19"/>
  <c r="N41" i="19" s="1"/>
  <c r="K39" i="19"/>
  <c r="N39" i="19" s="1"/>
  <c r="K37" i="19"/>
  <c r="N37" i="19" s="1"/>
  <c r="K33" i="19"/>
  <c r="N33" i="19" s="1"/>
  <c r="J61" i="19" l="1"/>
  <c r="I11" i="46"/>
  <c r="H11" i="46"/>
  <c r="G11" i="46"/>
  <c r="F11" i="46"/>
  <c r="E11" i="46"/>
  <c r="C23" i="45" l="1"/>
  <c r="D23" i="45" s="1"/>
  <c r="C22" i="45"/>
  <c r="D22" i="45" s="1"/>
  <c r="C21" i="45"/>
  <c r="D21" i="45" s="1"/>
  <c r="C20" i="45"/>
  <c r="D20" i="45" s="1"/>
  <c r="C19" i="45"/>
  <c r="C7" i="45"/>
  <c r="D7" i="45" s="1"/>
  <c r="C6" i="45"/>
  <c r="D6" i="45" s="1"/>
  <c r="C5" i="45"/>
  <c r="D5" i="45" s="1"/>
  <c r="C4" i="45"/>
  <c r="C43" i="44"/>
  <c r="C42" i="44"/>
  <c r="C41" i="44"/>
  <c r="C40" i="44"/>
  <c r="C39" i="44"/>
  <c r="C38" i="44"/>
  <c r="C37" i="44"/>
  <c r="C36" i="44"/>
  <c r="C35" i="44"/>
  <c r="C34" i="44"/>
  <c r="C33" i="44"/>
  <c r="C32" i="44"/>
  <c r="C31" i="44"/>
  <c r="C30" i="44"/>
  <c r="C29" i="44"/>
  <c r="C28" i="44"/>
  <c r="C27" i="44"/>
  <c r="F26" i="44"/>
  <c r="E26" i="44"/>
  <c r="D26" i="44"/>
  <c r="C25" i="44"/>
  <c r="F24" i="44"/>
  <c r="E24" i="44"/>
  <c r="D24" i="44"/>
  <c r="C23" i="44"/>
  <c r="C22" i="44"/>
  <c r="C21" i="44"/>
  <c r="F20" i="44"/>
  <c r="E20" i="44"/>
  <c r="D20" i="44"/>
  <c r="C19" i="44"/>
  <c r="C18" i="44"/>
  <c r="C17" i="44"/>
  <c r="C16" i="44"/>
  <c r="G15" i="44"/>
  <c r="F15" i="44"/>
  <c r="E15" i="44"/>
  <c r="D15" i="44"/>
  <c r="C13" i="44"/>
  <c r="C12" i="44"/>
  <c r="C11" i="44"/>
  <c r="C10" i="44"/>
  <c r="F9" i="44"/>
  <c r="E9" i="44"/>
  <c r="D9" i="44"/>
  <c r="M20" i="43"/>
  <c r="I20" i="43"/>
  <c r="H20" i="43"/>
  <c r="G20" i="43"/>
  <c r="F20" i="43"/>
  <c r="E20" i="43"/>
  <c r="N19" i="43"/>
  <c r="L19" i="43"/>
  <c r="D19" i="43"/>
  <c r="J19" i="43" s="1"/>
  <c r="D18" i="43"/>
  <c r="C18" i="43"/>
  <c r="N18" i="43" s="1"/>
  <c r="D17" i="43"/>
  <c r="C17" i="43"/>
  <c r="N17" i="43" s="1"/>
  <c r="D16" i="43"/>
  <c r="C16" i="43"/>
  <c r="N16" i="43" s="1"/>
  <c r="N15" i="43"/>
  <c r="L15" i="43"/>
  <c r="D15" i="43"/>
  <c r="J15" i="43" s="1"/>
  <c r="N14" i="43"/>
  <c r="L14" i="43"/>
  <c r="D14" i="43"/>
  <c r="J14" i="43" s="1"/>
  <c r="N13" i="43"/>
  <c r="L13" i="43"/>
  <c r="K13" i="43"/>
  <c r="D13" i="43"/>
  <c r="J13" i="43" s="1"/>
  <c r="K12" i="43"/>
  <c r="D12" i="43"/>
  <c r="C12" i="43"/>
  <c r="L12" i="43" s="1"/>
  <c r="K11" i="43"/>
  <c r="D11" i="43"/>
  <c r="J11" i="43" s="1"/>
  <c r="C11" i="43"/>
  <c r="L11" i="43" s="1"/>
  <c r="K10" i="43"/>
  <c r="D10" i="43"/>
  <c r="C10" i="43"/>
  <c r="L10" i="43" s="1"/>
  <c r="K9" i="43"/>
  <c r="D9" i="43"/>
  <c r="C9" i="43"/>
  <c r="L9" i="43" s="1"/>
  <c r="N8" i="43"/>
  <c r="L8" i="43"/>
  <c r="K8" i="43"/>
  <c r="D8" i="43"/>
  <c r="O75" i="42"/>
  <c r="N75" i="42"/>
  <c r="L75" i="42"/>
  <c r="K75" i="42"/>
  <c r="D75" i="42"/>
  <c r="J75" i="42" s="1"/>
  <c r="N74" i="42"/>
  <c r="L74" i="42"/>
  <c r="K74" i="42"/>
  <c r="D74" i="42"/>
  <c r="J74" i="42" s="1"/>
  <c r="N73" i="42"/>
  <c r="L73" i="42"/>
  <c r="K73" i="42"/>
  <c r="D73" i="42"/>
  <c r="J73" i="42" s="1"/>
  <c r="N72" i="42"/>
  <c r="L72" i="42"/>
  <c r="K72" i="42"/>
  <c r="D72" i="42"/>
  <c r="J72" i="42" s="1"/>
  <c r="N71" i="42"/>
  <c r="L71" i="42"/>
  <c r="K71" i="42"/>
  <c r="D71" i="42"/>
  <c r="J71" i="42" s="1"/>
  <c r="N70" i="42"/>
  <c r="L70" i="42"/>
  <c r="K70" i="42"/>
  <c r="D70" i="42"/>
  <c r="J70" i="42" s="1"/>
  <c r="O69" i="42"/>
  <c r="N69" i="42"/>
  <c r="L69" i="42"/>
  <c r="K69" i="42"/>
  <c r="D69" i="42"/>
  <c r="J69" i="42" s="1"/>
  <c r="N68" i="42"/>
  <c r="L68" i="42"/>
  <c r="K68" i="42"/>
  <c r="D68" i="42"/>
  <c r="J68" i="42" s="1"/>
  <c r="N67" i="42"/>
  <c r="L67" i="42"/>
  <c r="D67" i="42"/>
  <c r="J67" i="42" s="1"/>
  <c r="N66" i="42"/>
  <c r="L66" i="42"/>
  <c r="D66" i="42"/>
  <c r="J66" i="42" s="1"/>
  <c r="N65" i="42"/>
  <c r="L65" i="42"/>
  <c r="K65" i="42"/>
  <c r="D65" i="42"/>
  <c r="N64" i="42"/>
  <c r="L64" i="42"/>
  <c r="K64" i="42"/>
  <c r="D64" i="42"/>
  <c r="J64" i="42" s="1"/>
  <c r="I63" i="42"/>
  <c r="H63" i="42"/>
  <c r="G63" i="42"/>
  <c r="F63" i="42"/>
  <c r="E63" i="42"/>
  <c r="C63" i="42"/>
  <c r="N62" i="42"/>
  <c r="L62" i="42"/>
  <c r="D62" i="42"/>
  <c r="J62" i="42" s="1"/>
  <c r="N61" i="42"/>
  <c r="L61" i="42"/>
  <c r="D61" i="42"/>
  <c r="J61" i="42" s="1"/>
  <c r="O60" i="42"/>
  <c r="N60" i="42"/>
  <c r="L60" i="42"/>
  <c r="D60" i="42"/>
  <c r="J60" i="42" s="1"/>
  <c r="O59" i="42"/>
  <c r="K59" i="42"/>
  <c r="D59" i="42"/>
  <c r="C59" i="42"/>
  <c r="L59" i="42" s="1"/>
  <c r="O58" i="42"/>
  <c r="N58" i="42"/>
  <c r="L58" i="42"/>
  <c r="K58" i="42"/>
  <c r="D58" i="42"/>
  <c r="J58" i="42" s="1"/>
  <c r="O57" i="42"/>
  <c r="N57" i="42"/>
  <c r="L57" i="42"/>
  <c r="K57" i="42"/>
  <c r="D57" i="42"/>
  <c r="J57" i="42" s="1"/>
  <c r="N56" i="42"/>
  <c r="L56" i="42"/>
  <c r="K56" i="42"/>
  <c r="D56" i="42"/>
  <c r="J56" i="42" s="1"/>
  <c r="N55" i="42"/>
  <c r="L55" i="42"/>
  <c r="K55" i="42"/>
  <c r="D55" i="42"/>
  <c r="J55" i="42" s="1"/>
  <c r="N54" i="42"/>
  <c r="L54" i="42"/>
  <c r="K54" i="42"/>
  <c r="D54" i="42"/>
  <c r="J54" i="42" s="1"/>
  <c r="N53" i="42"/>
  <c r="L53" i="42"/>
  <c r="K53" i="42"/>
  <c r="D53" i="42"/>
  <c r="J53" i="42" s="1"/>
  <c r="N52" i="42"/>
  <c r="L52" i="42"/>
  <c r="K52" i="42"/>
  <c r="D52" i="42"/>
  <c r="J52" i="42" s="1"/>
  <c r="N51" i="42"/>
  <c r="L51" i="42"/>
  <c r="K51" i="42"/>
  <c r="D51" i="42"/>
  <c r="J51" i="42" s="1"/>
  <c r="K50" i="42"/>
  <c r="D50" i="42"/>
  <c r="C50" i="42"/>
  <c r="L50" i="42" s="1"/>
  <c r="O49" i="42"/>
  <c r="N49" i="42"/>
  <c r="L49" i="42"/>
  <c r="K49" i="42"/>
  <c r="D49" i="42"/>
  <c r="J49" i="42" s="1"/>
  <c r="N48" i="42"/>
  <c r="L48" i="42"/>
  <c r="D48" i="42"/>
  <c r="J48" i="42" s="1"/>
  <c r="O47" i="42"/>
  <c r="N47" i="42"/>
  <c r="L47" i="42"/>
  <c r="K47" i="42"/>
  <c r="D47" i="42"/>
  <c r="J47" i="42" s="1"/>
  <c r="N46" i="42"/>
  <c r="L46" i="42"/>
  <c r="K46" i="42"/>
  <c r="D46" i="42"/>
  <c r="J46" i="42" s="1"/>
  <c r="D45" i="42"/>
  <c r="J45" i="42" s="1"/>
  <c r="C45" i="42"/>
  <c r="L45" i="42" s="1"/>
  <c r="O44" i="42"/>
  <c r="N44" i="42"/>
  <c r="L44" i="42"/>
  <c r="D44" i="42"/>
  <c r="J44" i="42" s="1"/>
  <c r="N43" i="42"/>
  <c r="L43" i="42"/>
  <c r="D43" i="42"/>
  <c r="J43" i="42" s="1"/>
  <c r="O42" i="42"/>
  <c r="N42" i="42"/>
  <c r="L42" i="42"/>
  <c r="K42" i="42"/>
  <c r="D42" i="42"/>
  <c r="J42" i="42" s="1"/>
  <c r="O41" i="42"/>
  <c r="K41" i="42"/>
  <c r="D41" i="42"/>
  <c r="C41" i="42"/>
  <c r="L41" i="42" s="1"/>
  <c r="O40" i="42"/>
  <c r="N40" i="42"/>
  <c r="L40" i="42"/>
  <c r="K40" i="42"/>
  <c r="D40" i="42"/>
  <c r="J40" i="42" s="1"/>
  <c r="O39" i="42"/>
  <c r="N39" i="42"/>
  <c r="L39" i="42"/>
  <c r="K39" i="42"/>
  <c r="D39" i="42"/>
  <c r="J39" i="42" s="1"/>
  <c r="N38" i="42"/>
  <c r="L38" i="42"/>
  <c r="K38" i="42"/>
  <c r="D38" i="42"/>
  <c r="J38" i="42" s="1"/>
  <c r="K37" i="42"/>
  <c r="E37" i="42"/>
  <c r="L37" i="42" s="1"/>
  <c r="N36" i="42"/>
  <c r="L36" i="42"/>
  <c r="K36" i="42"/>
  <c r="D36" i="42"/>
  <c r="J36" i="42" s="1"/>
  <c r="O35" i="42"/>
  <c r="N35" i="42"/>
  <c r="L35" i="42"/>
  <c r="K35" i="42"/>
  <c r="D35" i="42"/>
  <c r="J35" i="42" s="1"/>
  <c r="N34" i="42"/>
  <c r="L34" i="42"/>
  <c r="K34" i="42"/>
  <c r="D34" i="42"/>
  <c r="J34" i="42" s="1"/>
  <c r="N33" i="42"/>
  <c r="L33" i="42"/>
  <c r="K33" i="42"/>
  <c r="D33" i="42"/>
  <c r="J33" i="42" s="1"/>
  <c r="N32" i="42"/>
  <c r="L32" i="42"/>
  <c r="K32" i="42"/>
  <c r="D32" i="42"/>
  <c r="J32" i="42" s="1"/>
  <c r="N31" i="42"/>
  <c r="L31" i="42"/>
  <c r="K31" i="42"/>
  <c r="D31" i="42"/>
  <c r="J31" i="42" s="1"/>
  <c r="N30" i="42"/>
  <c r="L30" i="42"/>
  <c r="K30" i="42"/>
  <c r="D30" i="42"/>
  <c r="J30" i="42" s="1"/>
  <c r="O29" i="42"/>
  <c r="N29" i="42"/>
  <c r="L29" i="42"/>
  <c r="K29" i="42"/>
  <c r="D29" i="42"/>
  <c r="J29" i="42" s="1"/>
  <c r="N28" i="42"/>
  <c r="L28" i="42"/>
  <c r="K28" i="42"/>
  <c r="D28" i="42"/>
  <c r="J28" i="42" s="1"/>
  <c r="O27" i="42"/>
  <c r="N27" i="42"/>
  <c r="L27" i="42"/>
  <c r="K27" i="42"/>
  <c r="D27" i="42"/>
  <c r="M26" i="42"/>
  <c r="M25" i="42" s="1"/>
  <c r="I26" i="42"/>
  <c r="I25" i="42" s="1"/>
  <c r="H26" i="42"/>
  <c r="H25" i="42" s="1"/>
  <c r="G26" i="42"/>
  <c r="G25" i="42" s="1"/>
  <c r="F26" i="42"/>
  <c r="N24" i="42"/>
  <c r="L24" i="42"/>
  <c r="D24" i="42"/>
  <c r="J24" i="42" s="1"/>
  <c r="O23" i="42"/>
  <c r="N23" i="42"/>
  <c r="L23" i="42"/>
  <c r="K23" i="42"/>
  <c r="D23" i="42"/>
  <c r="J23" i="42" s="1"/>
  <c r="O22" i="42"/>
  <c r="N22" i="42"/>
  <c r="L22" i="42"/>
  <c r="D22" i="42"/>
  <c r="J22" i="42" s="1"/>
  <c r="O21" i="42"/>
  <c r="N21" i="42"/>
  <c r="L21" i="42"/>
  <c r="D21" i="42"/>
  <c r="J21" i="42" s="1"/>
  <c r="N20" i="42"/>
  <c r="L20" i="42"/>
  <c r="D20" i="42"/>
  <c r="J20" i="42" s="1"/>
  <c r="O19" i="42"/>
  <c r="N19" i="42"/>
  <c r="L19" i="42"/>
  <c r="D19" i="42"/>
  <c r="J19" i="42" s="1"/>
  <c r="N18" i="42"/>
  <c r="L18" i="42"/>
  <c r="D18" i="42"/>
  <c r="J18" i="42" s="1"/>
  <c r="O17" i="42"/>
  <c r="N17" i="42"/>
  <c r="L17" i="42"/>
  <c r="K17" i="42"/>
  <c r="D17" i="42"/>
  <c r="J17" i="42" s="1"/>
  <c r="N16" i="42"/>
  <c r="L16" i="42"/>
  <c r="K16" i="42"/>
  <c r="D16" i="42"/>
  <c r="J16" i="42" s="1"/>
  <c r="O15" i="42"/>
  <c r="N15" i="42"/>
  <c r="L15" i="42"/>
  <c r="K15" i="42"/>
  <c r="D15" i="42"/>
  <c r="J15" i="42" s="1"/>
  <c r="O14" i="42"/>
  <c r="N14" i="42"/>
  <c r="L14" i="42"/>
  <c r="K14" i="42"/>
  <c r="D14" i="42"/>
  <c r="J14" i="42" s="1"/>
  <c r="N13" i="42"/>
  <c r="L13" i="42"/>
  <c r="D13" i="42"/>
  <c r="J13" i="42" s="1"/>
  <c r="N12" i="42"/>
  <c r="L12" i="42"/>
  <c r="D12" i="42"/>
  <c r="J12" i="42" s="1"/>
  <c r="N11" i="42"/>
  <c r="L11" i="42"/>
  <c r="D11" i="42"/>
  <c r="J11" i="42" s="1"/>
  <c r="N10" i="42"/>
  <c r="L10" i="42"/>
  <c r="D10" i="42"/>
  <c r="J10" i="42" s="1"/>
  <c r="N9" i="42"/>
  <c r="L9" i="42"/>
  <c r="D9" i="42"/>
  <c r="M8" i="42"/>
  <c r="I8" i="42"/>
  <c r="H8" i="42"/>
  <c r="G8" i="42"/>
  <c r="F8" i="42"/>
  <c r="E8" i="42"/>
  <c r="C8" i="42"/>
  <c r="D171" i="41"/>
  <c r="D165" i="41"/>
  <c r="D163" i="41"/>
  <c r="D139" i="41"/>
  <c r="D134" i="41"/>
  <c r="D133" i="41"/>
  <c r="D132" i="41"/>
  <c r="D131" i="41"/>
  <c r="D130" i="41"/>
  <c r="D129" i="41"/>
  <c r="D124" i="41"/>
  <c r="D123" i="41"/>
  <c r="D119" i="41"/>
  <c r="D101" i="41"/>
  <c r="D100" i="41"/>
  <c r="D99" i="41"/>
  <c r="D98" i="41"/>
  <c r="D97" i="41"/>
  <c r="D96" i="41"/>
  <c r="D95" i="41"/>
  <c r="D94" i="41"/>
  <c r="D93" i="41"/>
  <c r="D92" i="41"/>
  <c r="D91" i="41"/>
  <c r="D90" i="41"/>
  <c r="D89" i="41"/>
  <c r="D88" i="41"/>
  <c r="D87" i="41"/>
  <c r="D86" i="41"/>
  <c r="D83" i="41"/>
  <c r="D81" i="41"/>
  <c r="D78" i="41"/>
  <c r="D77" i="41"/>
  <c r="D73" i="41"/>
  <c r="D71" i="41"/>
  <c r="D67" i="41"/>
  <c r="D66" i="41"/>
  <c r="D64" i="41"/>
  <c r="D62" i="41"/>
  <c r="D60" i="41"/>
  <c r="D58" i="41"/>
  <c r="D56" i="41"/>
  <c r="D54" i="41"/>
  <c r="D52" i="41"/>
  <c r="D50" i="41"/>
  <c r="D49" i="41"/>
  <c r="D48" i="41"/>
  <c r="D46" i="41"/>
  <c r="D45" i="41"/>
  <c r="D43" i="41"/>
  <c r="D41" i="41"/>
  <c r="D33" i="41"/>
  <c r="D32" i="41"/>
  <c r="D30" i="41"/>
  <c r="D28" i="41"/>
  <c r="D26" i="41"/>
  <c r="D24" i="41"/>
  <c r="D22" i="41"/>
  <c r="D20" i="41"/>
  <c r="D16" i="41"/>
  <c r="D15" i="41"/>
  <c r="D13" i="41"/>
  <c r="D10" i="41"/>
  <c r="D9" i="41"/>
  <c r="H13" i="40"/>
  <c r="H12" i="40"/>
  <c r="D12" i="40"/>
  <c r="H11" i="40"/>
  <c r="G11" i="40"/>
  <c r="F11" i="40"/>
  <c r="H10" i="40"/>
  <c r="H9" i="40"/>
  <c r="G8" i="40"/>
  <c r="F8" i="40"/>
  <c r="E8" i="40"/>
  <c r="E7" i="40" s="1"/>
  <c r="D8" i="40"/>
  <c r="C8" i="40"/>
  <c r="C7" i="40" s="1"/>
  <c r="Z22" i="38"/>
  <c r="X22" i="38"/>
  <c r="V22" i="38"/>
  <c r="T22" i="38"/>
  <c r="R22" i="38"/>
  <c r="P22" i="38"/>
  <c r="N22" i="38"/>
  <c r="L22" i="38"/>
  <c r="J22" i="38"/>
  <c r="H22" i="38"/>
  <c r="F22" i="38"/>
  <c r="D22" i="38"/>
  <c r="B22" i="38"/>
  <c r="AA21" i="38"/>
  <c r="Y21" i="38"/>
  <c r="W21" i="38"/>
  <c r="U21" i="38"/>
  <c r="S21" i="38"/>
  <c r="Q21" i="38"/>
  <c r="O21" i="38"/>
  <c r="M21" i="38"/>
  <c r="K21" i="38"/>
  <c r="I21" i="38"/>
  <c r="G21" i="38"/>
  <c r="E21" i="38"/>
  <c r="C21" i="38"/>
  <c r="AA20" i="38"/>
  <c r="Y20" i="38"/>
  <c r="W20" i="38"/>
  <c r="U20" i="38"/>
  <c r="S20" i="38"/>
  <c r="Q20" i="38"/>
  <c r="O20" i="38"/>
  <c r="M20" i="38"/>
  <c r="K20" i="38"/>
  <c r="I20" i="38"/>
  <c r="G20" i="38"/>
  <c r="E20" i="38"/>
  <c r="C20" i="38"/>
  <c r="AA19" i="38"/>
  <c r="Y19" i="38"/>
  <c r="W19" i="38"/>
  <c r="U19" i="38"/>
  <c r="S19" i="38"/>
  <c r="Q19" i="38"/>
  <c r="O19" i="38"/>
  <c r="M19" i="38"/>
  <c r="K19" i="38"/>
  <c r="I19" i="38"/>
  <c r="G19" i="38"/>
  <c r="E19" i="38"/>
  <c r="C19" i="38"/>
  <c r="Z18" i="38"/>
  <c r="X18" i="38"/>
  <c r="V18" i="38"/>
  <c r="T18" i="38"/>
  <c r="R18" i="38"/>
  <c r="P18" i="38"/>
  <c r="N18" i="38"/>
  <c r="L18" i="38"/>
  <c r="J18" i="38"/>
  <c r="H18" i="38"/>
  <c r="F18" i="38"/>
  <c r="D18" i="38"/>
  <c r="B18" i="38"/>
  <c r="AA17" i="38"/>
  <c r="Y17" i="38"/>
  <c r="W17" i="38"/>
  <c r="U17" i="38"/>
  <c r="S17" i="38"/>
  <c r="Q17" i="38"/>
  <c r="O17" i="38"/>
  <c r="M17" i="38"/>
  <c r="K17" i="38"/>
  <c r="I17" i="38"/>
  <c r="G17" i="38"/>
  <c r="E17" i="38"/>
  <c r="C17" i="38"/>
  <c r="AA16" i="38"/>
  <c r="Y16" i="38"/>
  <c r="W16" i="38"/>
  <c r="U16" i="38"/>
  <c r="S16" i="38"/>
  <c r="Q16" i="38"/>
  <c r="O16" i="38"/>
  <c r="M16" i="38"/>
  <c r="K16" i="38"/>
  <c r="I16" i="38"/>
  <c r="G16" i="38"/>
  <c r="E16" i="38"/>
  <c r="C16" i="38"/>
  <c r="AA15" i="38"/>
  <c r="Y15" i="38"/>
  <c r="W15" i="38"/>
  <c r="U15" i="38"/>
  <c r="S15" i="38"/>
  <c r="Q15" i="38"/>
  <c r="O15" i="38"/>
  <c r="M15" i="38"/>
  <c r="K15" i="38"/>
  <c r="I15" i="38"/>
  <c r="G15" i="38"/>
  <c r="E15" i="38"/>
  <c r="C15" i="38"/>
  <c r="Z14" i="38"/>
  <c r="X14" i="38"/>
  <c r="V14" i="38"/>
  <c r="T14" i="38"/>
  <c r="R14" i="38"/>
  <c r="P14" i="38"/>
  <c r="N14" i="38"/>
  <c r="L14" i="38"/>
  <c r="J14" i="38"/>
  <c r="H14" i="38"/>
  <c r="F14" i="38"/>
  <c r="D14" i="38"/>
  <c r="B14" i="38"/>
  <c r="AA13" i="38"/>
  <c r="Y13" i="38"/>
  <c r="W13" i="38"/>
  <c r="U13" i="38"/>
  <c r="S13" i="38"/>
  <c r="Q13" i="38"/>
  <c r="O13" i="38"/>
  <c r="M13" i="38"/>
  <c r="K13" i="38"/>
  <c r="I13" i="38"/>
  <c r="G13" i="38"/>
  <c r="E13" i="38"/>
  <c r="C13" i="38"/>
  <c r="AA12" i="38"/>
  <c r="Y12" i="38"/>
  <c r="W12" i="38"/>
  <c r="U12" i="38"/>
  <c r="S12" i="38"/>
  <c r="Q12" i="38"/>
  <c r="O12" i="38"/>
  <c r="M12" i="38"/>
  <c r="K12" i="38"/>
  <c r="I12" i="38"/>
  <c r="G12" i="38"/>
  <c r="E12" i="38"/>
  <c r="C12" i="38"/>
  <c r="AA11" i="38"/>
  <c r="Y11" i="38"/>
  <c r="W11" i="38"/>
  <c r="U11" i="38"/>
  <c r="S11" i="38"/>
  <c r="Q11" i="38"/>
  <c r="O11" i="38"/>
  <c r="M11" i="38"/>
  <c r="K11" i="38"/>
  <c r="I11" i="38"/>
  <c r="G11" i="38"/>
  <c r="E11" i="38"/>
  <c r="C11" i="38"/>
  <c r="Z10" i="38"/>
  <c r="X10" i="38"/>
  <c r="V10" i="38"/>
  <c r="T10" i="38"/>
  <c r="R10" i="38"/>
  <c r="P10" i="38"/>
  <c r="N10" i="38"/>
  <c r="L10" i="38"/>
  <c r="J10" i="38"/>
  <c r="H10" i="38"/>
  <c r="F10" i="38"/>
  <c r="D10" i="38"/>
  <c r="B10" i="38"/>
  <c r="AA9" i="38"/>
  <c r="Y9" i="38"/>
  <c r="W9" i="38"/>
  <c r="U9" i="38"/>
  <c r="S9" i="38"/>
  <c r="Q9" i="38"/>
  <c r="O9" i="38"/>
  <c r="M9" i="38"/>
  <c r="K9" i="38"/>
  <c r="I9" i="38"/>
  <c r="G9" i="38"/>
  <c r="E9" i="38"/>
  <c r="C9" i="38"/>
  <c r="AA8" i="38"/>
  <c r="Y8" i="38"/>
  <c r="W8" i="38"/>
  <c r="U8" i="38"/>
  <c r="S8" i="38"/>
  <c r="Q8" i="38"/>
  <c r="O8" i="38"/>
  <c r="M8" i="38"/>
  <c r="K8" i="38"/>
  <c r="I8" i="38"/>
  <c r="G8" i="38"/>
  <c r="E8" i="38"/>
  <c r="C8" i="38"/>
  <c r="AA7" i="38"/>
  <c r="Y7" i="38"/>
  <c r="W7" i="38"/>
  <c r="U7" i="38"/>
  <c r="S7" i="38"/>
  <c r="Q7" i="38"/>
  <c r="O7" i="38"/>
  <c r="M7" i="38"/>
  <c r="K7" i="38"/>
  <c r="I7" i="38"/>
  <c r="G7" i="38"/>
  <c r="E7" i="38"/>
  <c r="C7" i="38"/>
  <c r="V23" i="37"/>
  <c r="T23" i="37"/>
  <c r="R23" i="37"/>
  <c r="P23" i="37"/>
  <c r="N23" i="37"/>
  <c r="L23" i="37"/>
  <c r="J23" i="37"/>
  <c r="H23" i="37"/>
  <c r="F23" i="37"/>
  <c r="D23" i="37"/>
  <c r="B23" i="37"/>
  <c r="W22" i="37"/>
  <c r="U22" i="37"/>
  <c r="S22" i="37"/>
  <c r="Q22" i="37"/>
  <c r="O22" i="37"/>
  <c r="M22" i="37"/>
  <c r="K22" i="37"/>
  <c r="I22" i="37"/>
  <c r="G22" i="37"/>
  <c r="E22" i="37"/>
  <c r="C22" i="37"/>
  <c r="W21" i="37"/>
  <c r="U21" i="37"/>
  <c r="S21" i="37"/>
  <c r="Q21" i="37"/>
  <c r="O21" i="37"/>
  <c r="M21" i="37"/>
  <c r="K21" i="37"/>
  <c r="I21" i="37"/>
  <c r="G21" i="37"/>
  <c r="E21" i="37"/>
  <c r="C21" i="37"/>
  <c r="W20" i="37"/>
  <c r="W23" i="37" s="1"/>
  <c r="U20" i="37"/>
  <c r="S20" i="37"/>
  <c r="Q20" i="37"/>
  <c r="O20" i="37"/>
  <c r="M20" i="37"/>
  <c r="K20" i="37"/>
  <c r="I20" i="37"/>
  <c r="G20" i="37"/>
  <c r="G23" i="37" s="1"/>
  <c r="E20" i="37"/>
  <c r="C20" i="37"/>
  <c r="V19" i="37"/>
  <c r="T19" i="37"/>
  <c r="R19" i="37"/>
  <c r="P19" i="37"/>
  <c r="N19" i="37"/>
  <c r="L19" i="37"/>
  <c r="J19" i="37"/>
  <c r="H19" i="37"/>
  <c r="F19" i="37"/>
  <c r="D19" i="37"/>
  <c r="B19" i="37"/>
  <c r="W18" i="37"/>
  <c r="U18" i="37"/>
  <c r="S18" i="37"/>
  <c r="Q18" i="37"/>
  <c r="O18" i="37"/>
  <c r="M18" i="37"/>
  <c r="K18" i="37"/>
  <c r="I18" i="37"/>
  <c r="G18" i="37"/>
  <c r="E18" i="37"/>
  <c r="C18" i="37"/>
  <c r="W17" i="37"/>
  <c r="U17" i="37"/>
  <c r="S17" i="37"/>
  <c r="Q17" i="37"/>
  <c r="O17" i="37"/>
  <c r="M17" i="37"/>
  <c r="K17" i="37"/>
  <c r="I17" i="37"/>
  <c r="G17" i="37"/>
  <c r="E17" i="37"/>
  <c r="C17" i="37"/>
  <c r="W16" i="37"/>
  <c r="U16" i="37"/>
  <c r="S16" i="37"/>
  <c r="Q16" i="37"/>
  <c r="O16" i="37"/>
  <c r="O19" i="37" s="1"/>
  <c r="M16" i="37"/>
  <c r="K16" i="37"/>
  <c r="I16" i="37"/>
  <c r="G16" i="37"/>
  <c r="E16" i="37"/>
  <c r="C16" i="37"/>
  <c r="V15" i="37"/>
  <c r="T15" i="37"/>
  <c r="R15" i="37"/>
  <c r="P15" i="37"/>
  <c r="N15" i="37"/>
  <c r="L15" i="37"/>
  <c r="J15" i="37"/>
  <c r="H15" i="37"/>
  <c r="F15" i="37"/>
  <c r="D15" i="37"/>
  <c r="B15" i="37"/>
  <c r="W14" i="37"/>
  <c r="U14" i="37"/>
  <c r="S14" i="37"/>
  <c r="Q14" i="37"/>
  <c r="O14" i="37"/>
  <c r="M14" i="37"/>
  <c r="K14" i="37"/>
  <c r="I14" i="37"/>
  <c r="G14" i="37"/>
  <c r="E14" i="37"/>
  <c r="C14" i="37"/>
  <c r="W13" i="37"/>
  <c r="U13" i="37"/>
  <c r="S13" i="37"/>
  <c r="Q13" i="37"/>
  <c r="O13" i="37"/>
  <c r="M13" i="37"/>
  <c r="K13" i="37"/>
  <c r="I13" i="37"/>
  <c r="G13" i="37"/>
  <c r="E13" i="37"/>
  <c r="C13" i="37"/>
  <c r="W12" i="37"/>
  <c r="W15" i="37" s="1"/>
  <c r="U12" i="37"/>
  <c r="S12" i="37"/>
  <c r="Q12" i="37"/>
  <c r="O12" i="37"/>
  <c r="M12" i="37"/>
  <c r="K12" i="37"/>
  <c r="I12" i="37"/>
  <c r="G12" i="37"/>
  <c r="G15" i="37" s="1"/>
  <c r="E12" i="37"/>
  <c r="C12" i="37"/>
  <c r="V11" i="37"/>
  <c r="T11" i="37"/>
  <c r="R11" i="37"/>
  <c r="P11" i="37"/>
  <c r="N11" i="37"/>
  <c r="L11" i="37"/>
  <c r="J11" i="37"/>
  <c r="H11" i="37"/>
  <c r="F11" i="37"/>
  <c r="D11" i="37"/>
  <c r="B11" i="37"/>
  <c r="W10" i="37"/>
  <c r="U10" i="37"/>
  <c r="S10" i="37"/>
  <c r="Q10" i="37"/>
  <c r="O10" i="37"/>
  <c r="M10" i="37"/>
  <c r="K10" i="37"/>
  <c r="I10" i="37"/>
  <c r="G10" i="37"/>
  <c r="E10" i="37"/>
  <c r="C10" i="37"/>
  <c r="W9" i="37"/>
  <c r="U9" i="37"/>
  <c r="S9" i="37"/>
  <c r="Q9" i="37"/>
  <c r="O9" i="37"/>
  <c r="M9" i="37"/>
  <c r="K9" i="37"/>
  <c r="I9" i="37"/>
  <c r="G9" i="37"/>
  <c r="E9" i="37"/>
  <c r="C9" i="37"/>
  <c r="W8" i="37"/>
  <c r="U8" i="37"/>
  <c r="S8" i="37"/>
  <c r="Q8" i="37"/>
  <c r="O8" i="37"/>
  <c r="M8" i="37"/>
  <c r="K8" i="37"/>
  <c r="I8" i="37"/>
  <c r="G8" i="37"/>
  <c r="E8" i="37"/>
  <c r="C8" i="37"/>
  <c r="J17" i="43" l="1"/>
  <c r="N9" i="43"/>
  <c r="L17" i="43"/>
  <c r="L63" i="42"/>
  <c r="F14" i="40"/>
  <c r="E26" i="42"/>
  <c r="L23" i="38"/>
  <c r="G7" i="40"/>
  <c r="P61" i="42"/>
  <c r="F25" i="42"/>
  <c r="F76" i="42" s="1"/>
  <c r="P16" i="42"/>
  <c r="Y18" i="37"/>
  <c r="O10" i="38"/>
  <c r="G14" i="38"/>
  <c r="W14" i="38"/>
  <c r="G22" i="38"/>
  <c r="W22" i="38"/>
  <c r="K63" i="42"/>
  <c r="S15" i="37"/>
  <c r="O15" i="37"/>
  <c r="AA20" i="37"/>
  <c r="P12" i="42"/>
  <c r="K8" i="42"/>
  <c r="N63" i="42"/>
  <c r="N24" i="37"/>
  <c r="B23" i="38"/>
  <c r="P20" i="42"/>
  <c r="K22" i="38"/>
  <c r="D31" i="41"/>
  <c r="P13" i="42"/>
  <c r="P40" i="42"/>
  <c r="P46" i="42"/>
  <c r="F14" i="44"/>
  <c r="F8" i="44" s="1"/>
  <c r="D7" i="40"/>
  <c r="P36" i="42"/>
  <c r="P42" i="42"/>
  <c r="D69" i="41"/>
  <c r="P29" i="42"/>
  <c r="P31" i="42"/>
  <c r="P33" i="42"/>
  <c r="D20" i="43"/>
  <c r="D8" i="41"/>
  <c r="K23" i="37"/>
  <c r="U11" i="37"/>
  <c r="Z10" i="37"/>
  <c r="B24" i="37"/>
  <c r="R24" i="37"/>
  <c r="M15" i="37"/>
  <c r="E19" i="37"/>
  <c r="U19" i="37"/>
  <c r="F23" i="38"/>
  <c r="V23" i="38"/>
  <c r="M14" i="38"/>
  <c r="AE12" i="38"/>
  <c r="E18" i="38"/>
  <c r="U18" i="38"/>
  <c r="M22" i="38"/>
  <c r="O26" i="42"/>
  <c r="P62" i="42"/>
  <c r="C24" i="44"/>
  <c r="D85" i="41"/>
  <c r="D84" i="41" s="1"/>
  <c r="E11" i="37"/>
  <c r="S23" i="37"/>
  <c r="AE9" i="38"/>
  <c r="H23" i="38"/>
  <c r="X23" i="38"/>
  <c r="AE17" i="38"/>
  <c r="O22" i="38"/>
  <c r="AA22" i="38"/>
  <c r="H76" i="42"/>
  <c r="P28" i="42"/>
  <c r="N50" i="42"/>
  <c r="AA9" i="37"/>
  <c r="I19" i="37"/>
  <c r="Y17" i="37"/>
  <c r="Q23" i="37"/>
  <c r="AA22" i="37"/>
  <c r="P64" i="42"/>
  <c r="O63" i="42"/>
  <c r="C15" i="44"/>
  <c r="S22" i="38"/>
  <c r="P19" i="42"/>
  <c r="L26" i="42"/>
  <c r="P43" i="42"/>
  <c r="C26" i="44"/>
  <c r="C24" i="45"/>
  <c r="K26" i="42"/>
  <c r="K20" i="43"/>
  <c r="AD9" i="38"/>
  <c r="R23" i="38"/>
  <c r="AF12" i="38"/>
  <c r="AB13" i="38"/>
  <c r="Q18" i="38"/>
  <c r="AC16" i="38"/>
  <c r="AD17" i="38"/>
  <c r="I22" i="38"/>
  <c r="Y22" i="38"/>
  <c r="D18" i="41"/>
  <c r="D38" i="41"/>
  <c r="E25" i="42"/>
  <c r="E76" i="42" s="1"/>
  <c r="P44" i="42"/>
  <c r="P48" i="42"/>
  <c r="D63" i="42"/>
  <c r="P69" i="42"/>
  <c r="D102" i="41"/>
  <c r="M11" i="37"/>
  <c r="D23" i="38"/>
  <c r="O8" i="42"/>
  <c r="X13" i="37"/>
  <c r="T24" i="37"/>
  <c r="G18" i="38"/>
  <c r="Z9" i="37"/>
  <c r="AA10" i="37"/>
  <c r="J24" i="37"/>
  <c r="V24" i="37"/>
  <c r="Q15" i="37"/>
  <c r="X14" i="37"/>
  <c r="Y16" i="37"/>
  <c r="Y19" i="37" s="1"/>
  <c r="S19" i="37"/>
  <c r="AA21" i="37"/>
  <c r="AA23" i="37" s="1"/>
  <c r="K10" i="38"/>
  <c r="AA10" i="38"/>
  <c r="AC9" i="38"/>
  <c r="AC11" i="38"/>
  <c r="AC14" i="38" s="1"/>
  <c r="S14" i="38"/>
  <c r="I14" i="38"/>
  <c r="Y14" i="38"/>
  <c r="K18" i="38"/>
  <c r="AA18" i="38"/>
  <c r="AE19" i="38"/>
  <c r="AF21" i="38"/>
  <c r="C22" i="38"/>
  <c r="P11" i="42"/>
  <c r="P15" i="42"/>
  <c r="P18" i="42"/>
  <c r="P22" i="42"/>
  <c r="P52" i="42"/>
  <c r="P54" i="42"/>
  <c r="P56" i="42"/>
  <c r="P71" i="42"/>
  <c r="P73" i="42"/>
  <c r="P75" i="42"/>
  <c r="AB8" i="37"/>
  <c r="F24" i="37"/>
  <c r="W10" i="38"/>
  <c r="AD16" i="38"/>
  <c r="AB9" i="37"/>
  <c r="L24" i="37"/>
  <c r="Y12" i="37"/>
  <c r="Y15" i="37" s="1"/>
  <c r="Z20" i="37"/>
  <c r="Z23" i="37" s="1"/>
  <c r="AE8" i="38"/>
  <c r="N23" i="38"/>
  <c r="E14" i="38"/>
  <c r="U14" i="38"/>
  <c r="M18" i="38"/>
  <c r="AE16" i="38"/>
  <c r="E22" i="38"/>
  <c r="U22" i="38"/>
  <c r="AD21" i="38"/>
  <c r="D8" i="42"/>
  <c r="J59" i="42"/>
  <c r="N10" i="43"/>
  <c r="C20" i="44"/>
  <c r="K15" i="37"/>
  <c r="AA8" i="37"/>
  <c r="E15" i="37"/>
  <c r="U15" i="37"/>
  <c r="AB14" i="37"/>
  <c r="G19" i="37"/>
  <c r="W19" i="37"/>
  <c r="Z18" i="37"/>
  <c r="O23" i="37"/>
  <c r="AB21" i="37"/>
  <c r="Y22" i="37"/>
  <c r="P23" i="38"/>
  <c r="AC13" i="38"/>
  <c r="AF15" i="38"/>
  <c r="AF20" i="38"/>
  <c r="AE21" i="38"/>
  <c r="H8" i="40"/>
  <c r="H7" i="40" s="1"/>
  <c r="L8" i="42"/>
  <c r="P24" i="42"/>
  <c r="C26" i="42"/>
  <c r="C25" i="42" s="1"/>
  <c r="C76" i="42" s="1"/>
  <c r="P47" i="42"/>
  <c r="P58" i="42"/>
  <c r="P68" i="42"/>
  <c r="O13" i="43"/>
  <c r="N8" i="42"/>
  <c r="P14" i="42"/>
  <c r="P17" i="42"/>
  <c r="P30" i="42"/>
  <c r="P32" i="42"/>
  <c r="P34" i="42"/>
  <c r="P38" i="42"/>
  <c r="P49" i="42"/>
  <c r="P66" i="42"/>
  <c r="AB10" i="37"/>
  <c r="D24" i="37"/>
  <c r="P24" i="37"/>
  <c r="I15" i="37"/>
  <c r="Y13" i="37"/>
  <c r="K19" i="37"/>
  <c r="Y20" i="37"/>
  <c r="Y23" i="37" s="1"/>
  <c r="Z21" i="37"/>
  <c r="C10" i="38"/>
  <c r="S10" i="38"/>
  <c r="AF9" i="38"/>
  <c r="T23" i="38"/>
  <c r="K14" i="38"/>
  <c r="AA14" i="38"/>
  <c r="Q14" i="38"/>
  <c r="AE15" i="38"/>
  <c r="S18" i="38"/>
  <c r="AF17" i="38"/>
  <c r="P21" i="42"/>
  <c r="P23" i="42"/>
  <c r="P51" i="42"/>
  <c r="P53" i="42"/>
  <c r="P55" i="42"/>
  <c r="P57" i="42"/>
  <c r="P60" i="42"/>
  <c r="P70" i="42"/>
  <c r="P72" i="42"/>
  <c r="P74" i="42"/>
  <c r="O15" i="43"/>
  <c r="M19" i="37"/>
  <c r="AB22" i="37"/>
  <c r="Z22" i="37"/>
  <c r="AC20" i="38"/>
  <c r="P10" i="42"/>
  <c r="G76" i="42"/>
  <c r="C9" i="44"/>
  <c r="U23" i="37"/>
  <c r="AC7" i="38"/>
  <c r="AC10" i="38" s="1"/>
  <c r="AD8" i="38"/>
  <c r="AF19" i="38"/>
  <c r="J65" i="42"/>
  <c r="P65" i="42" s="1"/>
  <c r="O14" i="38"/>
  <c r="W18" i="38"/>
  <c r="AB20" i="38"/>
  <c r="H24" i="37"/>
  <c r="AB13" i="37"/>
  <c r="Y14" i="37"/>
  <c r="Q19" i="37"/>
  <c r="Z17" i="37"/>
  <c r="I23" i="37"/>
  <c r="Y21" i="37"/>
  <c r="C23" i="37"/>
  <c r="AF8" i="38"/>
  <c r="J23" i="38"/>
  <c r="Z23" i="38"/>
  <c r="AF13" i="38"/>
  <c r="I18" i="38"/>
  <c r="Y18" i="38"/>
  <c r="AF16" i="38"/>
  <c r="AD19" i="38"/>
  <c r="AD22" i="38" s="1"/>
  <c r="D27" i="41"/>
  <c r="I76" i="42"/>
  <c r="P35" i="42"/>
  <c r="P39" i="42"/>
  <c r="J10" i="43"/>
  <c r="O17" i="43"/>
  <c r="O19" i="43"/>
  <c r="E14" i="44"/>
  <c r="E8" i="44" s="1"/>
  <c r="C8" i="45"/>
  <c r="E5" i="45"/>
  <c r="F5" i="45" s="1"/>
  <c r="E6" i="45"/>
  <c r="F6" i="45" s="1"/>
  <c r="E7" i="45"/>
  <c r="F7" i="45" s="1"/>
  <c r="E20" i="45"/>
  <c r="F20" i="45" s="1"/>
  <c r="E21" i="45"/>
  <c r="F21" i="45" s="1"/>
  <c r="E22" i="45"/>
  <c r="F22" i="45" s="1"/>
  <c r="E23" i="45"/>
  <c r="F23" i="45" s="1"/>
  <c r="D4" i="45"/>
  <c r="E4" i="45" s="1"/>
  <c r="D19" i="45"/>
  <c r="E19" i="45" s="1"/>
  <c r="D14" i="44"/>
  <c r="D8" i="44" s="1"/>
  <c r="O14" i="43"/>
  <c r="J8" i="43"/>
  <c r="N11" i="43"/>
  <c r="O11" i="43" s="1"/>
  <c r="J12" i="43"/>
  <c r="L16" i="43"/>
  <c r="L18" i="43"/>
  <c r="C20" i="43"/>
  <c r="J9" i="43"/>
  <c r="O9" i="43" s="1"/>
  <c r="N12" i="43"/>
  <c r="J16" i="43"/>
  <c r="J18" i="43"/>
  <c r="P67" i="42"/>
  <c r="J9" i="42"/>
  <c r="J27" i="42"/>
  <c r="J50" i="42"/>
  <c r="N59" i="42"/>
  <c r="N37" i="42"/>
  <c r="J41" i="42"/>
  <c r="N45" i="42"/>
  <c r="P45" i="42" s="1"/>
  <c r="D37" i="42"/>
  <c r="J37" i="42" s="1"/>
  <c r="N41" i="42"/>
  <c r="C26" i="38"/>
  <c r="AB7" i="38"/>
  <c r="AF7" i="38"/>
  <c r="AB9" i="38"/>
  <c r="E10" i="38"/>
  <c r="I10" i="38"/>
  <c r="M10" i="38"/>
  <c r="Q10" i="38"/>
  <c r="U10" i="38"/>
  <c r="Y10" i="38"/>
  <c r="AE11" i="38"/>
  <c r="AC12" i="38"/>
  <c r="AE13" i="38"/>
  <c r="AD15" i="38"/>
  <c r="AD18" i="38" s="1"/>
  <c r="AB16" i="38"/>
  <c r="C18" i="38"/>
  <c r="O18" i="38"/>
  <c r="AC19" i="38"/>
  <c r="AC22" i="38" s="1"/>
  <c r="AE20" i="38"/>
  <c r="AC21" i="38"/>
  <c r="AE7" i="38"/>
  <c r="AC8" i="38"/>
  <c r="AD11" i="38"/>
  <c r="AD14" i="38" s="1"/>
  <c r="AB12" i="38"/>
  <c r="AD13" i="38"/>
  <c r="C14" i="38"/>
  <c r="AC15" i="38"/>
  <c r="AC18" i="38" s="1"/>
  <c r="AC17" i="38"/>
  <c r="AB19" i="38"/>
  <c r="AD20" i="38"/>
  <c r="AB21" i="38"/>
  <c r="Q22" i="38"/>
  <c r="AD7" i="38"/>
  <c r="AB8" i="38"/>
  <c r="G10" i="38"/>
  <c r="AB15" i="38"/>
  <c r="AB17" i="38"/>
  <c r="AB11" i="38"/>
  <c r="AF11" i="38"/>
  <c r="AD12" i="38"/>
  <c r="U24" i="37"/>
  <c r="Z8" i="37"/>
  <c r="C11" i="37"/>
  <c r="G11" i="37"/>
  <c r="K11" i="37"/>
  <c r="O11" i="37"/>
  <c r="S11" i="37"/>
  <c r="S24" i="37" s="1"/>
  <c r="W11" i="37"/>
  <c r="W24" i="37" s="1"/>
  <c r="AA12" i="37"/>
  <c r="AA13" i="37"/>
  <c r="AA14" i="37"/>
  <c r="X16" i="37"/>
  <c r="AB16" i="37"/>
  <c r="X17" i="37"/>
  <c r="AB17" i="37"/>
  <c r="X18" i="37"/>
  <c r="AB18" i="37"/>
  <c r="Y8" i="37"/>
  <c r="Y9" i="37"/>
  <c r="Y10" i="37"/>
  <c r="Z12" i="37"/>
  <c r="Z15" i="37" s="1"/>
  <c r="Z13" i="37"/>
  <c r="Z14" i="37"/>
  <c r="C15" i="37"/>
  <c r="AA16" i="37"/>
  <c r="AA17" i="37"/>
  <c r="AA18" i="37"/>
  <c r="X20" i="37"/>
  <c r="AB20" i="37"/>
  <c r="X21" i="37"/>
  <c r="X22" i="37"/>
  <c r="E23" i="37"/>
  <c r="E24" i="37" s="1"/>
  <c r="M23" i="37"/>
  <c r="X8" i="37"/>
  <c r="X9" i="37"/>
  <c r="X10" i="37"/>
  <c r="I11" i="37"/>
  <c r="Q11" i="37"/>
  <c r="Z16" i="37"/>
  <c r="Z19" i="37" s="1"/>
  <c r="C19" i="37"/>
  <c r="X12" i="37"/>
  <c r="X15" i="37" s="1"/>
  <c r="AB12" i="37"/>
  <c r="AF14" i="38" l="1"/>
  <c r="Q24" i="37"/>
  <c r="O18" i="43"/>
  <c r="AE18" i="38"/>
  <c r="L25" i="42"/>
  <c r="L76" i="42" s="1"/>
  <c r="P50" i="42"/>
  <c r="O25" i="42"/>
  <c r="O76" i="42" s="1"/>
  <c r="U23" i="38"/>
  <c r="C14" i="44"/>
  <c r="C8" i="44" s="1"/>
  <c r="AA11" i="37"/>
  <c r="K25" i="42"/>
  <c r="K76" i="42" s="1"/>
  <c r="AC23" i="38"/>
  <c r="AB23" i="37"/>
  <c r="K24" i="37"/>
  <c r="K23" i="38"/>
  <c r="C27" i="38"/>
  <c r="C28" i="38" s="1"/>
  <c r="S23" i="38"/>
  <c r="O23" i="38"/>
  <c r="C27" i="37"/>
  <c r="AB15" i="37"/>
  <c r="G23" i="38"/>
  <c r="O16" i="43"/>
  <c r="O10" i="43"/>
  <c r="M24" i="37"/>
  <c r="O24" i="37"/>
  <c r="M23" i="38"/>
  <c r="AB11" i="37"/>
  <c r="X23" i="37"/>
  <c r="G24" i="37"/>
  <c r="AF22" i="38"/>
  <c r="P63" i="42"/>
  <c r="I23" i="38"/>
  <c r="D12" i="41"/>
  <c r="D7" i="41" s="1"/>
  <c r="D6" i="41" s="1"/>
  <c r="G8" i="41" s="1"/>
  <c r="W23" i="38"/>
  <c r="AA23" i="38"/>
  <c r="C28" i="37"/>
  <c r="E23" i="38"/>
  <c r="P59" i="42"/>
  <c r="AF18" i="38"/>
  <c r="C24" i="37"/>
  <c r="AE22" i="38"/>
  <c r="AE14" i="38"/>
  <c r="Y23" i="38"/>
  <c r="AB18" i="38"/>
  <c r="N20" i="43"/>
  <c r="I24" i="37"/>
  <c r="Q23" i="38"/>
  <c r="P37" i="42"/>
  <c r="C23" i="38"/>
  <c r="J63" i="42"/>
  <c r="L20" i="43"/>
  <c r="D8" i="45"/>
  <c r="F4" i="45"/>
  <c r="F8" i="45" s="1"/>
  <c r="D24" i="45"/>
  <c r="F19" i="45"/>
  <c r="F24" i="45" s="1"/>
  <c r="E24" i="45"/>
  <c r="E8" i="45"/>
  <c r="O12" i="43"/>
  <c r="J20" i="43"/>
  <c r="O8" i="43"/>
  <c r="P9" i="42"/>
  <c r="P8" i="42" s="1"/>
  <c r="J8" i="42"/>
  <c r="P27" i="42"/>
  <c r="J26" i="42"/>
  <c r="N26" i="42"/>
  <c r="N25" i="42" s="1"/>
  <c r="N76" i="42" s="1"/>
  <c r="D26" i="42"/>
  <c r="D25" i="42" s="1"/>
  <c r="D76" i="42" s="1"/>
  <c r="P41" i="42"/>
  <c r="AF10" i="38"/>
  <c r="AB10" i="38"/>
  <c r="AD10" i="38"/>
  <c r="AD23" i="38"/>
  <c r="AE10" i="38"/>
  <c r="AB22" i="38"/>
  <c r="AB14" i="38"/>
  <c r="AA19" i="37"/>
  <c r="X11" i="37"/>
  <c r="Y24" i="37"/>
  <c r="Y11" i="37"/>
  <c r="X19" i="37"/>
  <c r="AB19" i="37"/>
  <c r="AA15" i="37"/>
  <c r="Z24" i="37"/>
  <c r="Z11" i="37"/>
  <c r="AE23" i="38" l="1"/>
  <c r="C29" i="37"/>
  <c r="AA24" i="37"/>
  <c r="G6" i="41"/>
  <c r="AF23" i="38"/>
  <c r="O20" i="43"/>
  <c r="AB24" i="37"/>
  <c r="J25" i="42"/>
  <c r="J76" i="42" s="1"/>
  <c r="X24" i="37"/>
  <c r="AB23" i="38"/>
  <c r="P26" i="42"/>
  <c r="P25" i="42" s="1"/>
  <c r="P76" i="42" s="1"/>
  <c r="I25" i="35" l="1"/>
  <c r="H25" i="35"/>
  <c r="I24" i="35"/>
  <c r="H24" i="35"/>
  <c r="G23" i="35"/>
  <c r="F23" i="35"/>
  <c r="E23" i="35"/>
  <c r="I22" i="35"/>
  <c r="H22" i="35"/>
  <c r="I21" i="35"/>
  <c r="H21" i="35"/>
  <c r="I20" i="35"/>
  <c r="H20" i="35"/>
  <c r="G19" i="35"/>
  <c r="F19" i="35"/>
  <c r="E19" i="35"/>
  <c r="I18" i="35"/>
  <c r="H18" i="35"/>
  <c r="I17" i="35"/>
  <c r="H17" i="35"/>
  <c r="I16" i="35"/>
  <c r="H16" i="35"/>
  <c r="G15" i="35"/>
  <c r="F15" i="35"/>
  <c r="E15" i="35"/>
  <c r="I12" i="35"/>
  <c r="I11" i="35" s="1"/>
  <c r="H11" i="35"/>
  <c r="G11" i="35"/>
  <c r="F11" i="35"/>
  <c r="E11" i="35"/>
  <c r="I10" i="35"/>
  <c r="H10" i="35"/>
  <c r="I9" i="35"/>
  <c r="H9" i="35"/>
  <c r="I8" i="35"/>
  <c r="H8" i="35"/>
  <c r="G7" i="35"/>
  <c r="F7" i="35"/>
  <c r="E7" i="35"/>
  <c r="D10" i="33"/>
  <c r="C10" i="33"/>
  <c r="G12" i="32"/>
  <c r="F12" i="32"/>
  <c r="E12" i="32"/>
  <c r="D12" i="32"/>
  <c r="C12" i="32"/>
  <c r="I11" i="31"/>
  <c r="C19" i="30"/>
  <c r="C17" i="30"/>
  <c r="C13" i="30"/>
  <c r="C8" i="30"/>
  <c r="C8" i="29"/>
  <c r="C7" i="29" s="1"/>
  <c r="H7" i="28"/>
  <c r="G7" i="28"/>
  <c r="E7" i="28"/>
  <c r="C7" i="28"/>
  <c r="G27" i="35" l="1"/>
  <c r="H23" i="35"/>
  <c r="I23" i="35"/>
  <c r="C7" i="30"/>
  <c r="C6" i="30" s="1"/>
  <c r="F27" i="35"/>
  <c r="I15" i="35"/>
  <c r="E27" i="35"/>
  <c r="I19" i="35"/>
  <c r="H19" i="35"/>
  <c r="H15" i="35"/>
  <c r="H7" i="35"/>
  <c r="I7" i="35"/>
  <c r="I27" i="35" l="1"/>
  <c r="H27" i="35"/>
  <c r="D9" i="26"/>
  <c r="E9" i="26"/>
  <c r="H9" i="26"/>
  <c r="C10" i="26"/>
  <c r="C11" i="26"/>
  <c r="C9" i="26" l="1"/>
  <c r="C62" i="6"/>
  <c r="F137" i="6"/>
  <c r="F134" i="6" s="1"/>
  <c r="C142" i="6" l="1"/>
  <c r="G12" i="6"/>
  <c r="F65" i="6" l="1"/>
  <c r="E76" i="6"/>
  <c r="F76" i="6"/>
  <c r="C114" i="17"/>
  <c r="D113" i="17"/>
  <c r="D93" i="17" s="1"/>
  <c r="D92" i="17" s="1"/>
  <c r="C156" i="17"/>
  <c r="C244" i="17"/>
  <c r="D174" i="17"/>
  <c r="E174" i="17"/>
  <c r="F174" i="17"/>
  <c r="C180" i="17"/>
  <c r="C170" i="17"/>
  <c r="C179" i="17"/>
  <c r="C178" i="17"/>
  <c r="C177" i="17"/>
  <c r="C176" i="17"/>
  <c r="C175" i="17"/>
  <c r="C173" i="17"/>
  <c r="C172" i="17"/>
  <c r="C171" i="17"/>
  <c r="C169" i="17"/>
  <c r="F168" i="17"/>
  <c r="E168" i="17"/>
  <c r="D168" i="17"/>
  <c r="D87" i="17"/>
  <c r="E87" i="17"/>
  <c r="F87" i="17"/>
  <c r="D39" i="17"/>
  <c r="E39" i="17"/>
  <c r="F39" i="17"/>
  <c r="F15" i="26"/>
  <c r="C113" i="17" l="1"/>
  <c r="E167" i="17"/>
  <c r="C174" i="17"/>
  <c r="F167" i="17"/>
  <c r="D167" i="17"/>
  <c r="C168" i="17"/>
  <c r="D34" i="6"/>
  <c r="G12" i="26" s="1"/>
  <c r="E34" i="6"/>
  <c r="F34" i="6"/>
  <c r="C167" i="17" l="1"/>
  <c r="E45" i="6"/>
  <c r="F45" i="6"/>
  <c r="C48" i="6"/>
  <c r="C162" i="17" l="1"/>
  <c r="D142" i="17"/>
  <c r="C153" i="17"/>
  <c r="C137" i="17"/>
  <c r="C135" i="17"/>
  <c r="C134" i="17"/>
  <c r="C120" i="17"/>
  <c r="C121" i="17"/>
  <c r="C122" i="17"/>
  <c r="C41" i="17" l="1"/>
  <c r="C42" i="17"/>
  <c r="C36" i="17"/>
  <c r="C37" i="17"/>
  <c r="C100" i="17"/>
  <c r="C191" i="17"/>
  <c r="C184" i="17"/>
  <c r="C185" i="17"/>
  <c r="C186" i="17"/>
  <c r="C123" i="17"/>
  <c r="C183" i="17" l="1"/>
  <c r="C257" i="17" l="1"/>
  <c r="C43" i="17"/>
  <c r="C40" i="17"/>
  <c r="D34" i="17"/>
  <c r="E34" i="17"/>
  <c r="E28" i="17" s="1"/>
  <c r="F34" i="17"/>
  <c r="F28" i="17" s="1"/>
  <c r="C35" i="17"/>
  <c r="C34" i="17" s="1"/>
  <c r="C112" i="17"/>
  <c r="E109" i="17"/>
  <c r="F109" i="17"/>
  <c r="E102" i="17"/>
  <c r="F102" i="17"/>
  <c r="E94" i="17"/>
  <c r="F94" i="17"/>
  <c r="C246" i="17"/>
  <c r="C247" i="17"/>
  <c r="C248" i="17"/>
  <c r="C111" i="17"/>
  <c r="C164" i="17"/>
  <c r="C165" i="17"/>
  <c r="C166" i="17"/>
  <c r="C188" i="17"/>
  <c r="C189" i="17"/>
  <c r="D181" i="17"/>
  <c r="E181" i="17"/>
  <c r="F181" i="17"/>
  <c r="D161" i="17"/>
  <c r="D155" i="17"/>
  <c r="C145" i="17"/>
  <c r="C146" i="17"/>
  <c r="C147" i="17"/>
  <c r="C148" i="17"/>
  <c r="C149" i="17"/>
  <c r="C150" i="17"/>
  <c r="C151" i="17"/>
  <c r="C152" i="17"/>
  <c r="C144" i="17"/>
  <c r="D127" i="17"/>
  <c r="D117" i="17" s="1"/>
  <c r="E242" i="17"/>
  <c r="C61" i="17"/>
  <c r="C62" i="17"/>
  <c r="C63" i="17"/>
  <c r="C64" i="17"/>
  <c r="C65" i="17"/>
  <c r="C66" i="17"/>
  <c r="C67" i="17"/>
  <c r="C68" i="17"/>
  <c r="C60" i="17"/>
  <c r="C71" i="17"/>
  <c r="C72" i="17"/>
  <c r="C73" i="17"/>
  <c r="C74" i="17"/>
  <c r="C75" i="17"/>
  <c r="C76" i="17"/>
  <c r="C77" i="17"/>
  <c r="C78" i="17"/>
  <c r="C79" i="17"/>
  <c r="C80" i="17"/>
  <c r="C81" i="17"/>
  <c r="C82" i="17"/>
  <c r="C87" i="17"/>
  <c r="C251" i="17"/>
  <c r="C258" i="17"/>
  <c r="C256" i="17"/>
  <c r="C249" i="17"/>
  <c r="C250" i="17"/>
  <c r="D50" i="17"/>
  <c r="F50" i="17"/>
  <c r="D13" i="17"/>
  <c r="E13" i="17"/>
  <c r="F13" i="17"/>
  <c r="C74" i="6"/>
  <c r="C73" i="6"/>
  <c r="D28" i="17" l="1"/>
  <c r="F12" i="26" s="1"/>
  <c r="F93" i="17"/>
  <c r="F92" i="17" s="1"/>
  <c r="E93" i="17"/>
  <c r="E92" i="17" s="1"/>
  <c r="C50" i="17"/>
  <c r="C39" i="17"/>
  <c r="C142" i="17"/>
  <c r="C59" i="17"/>
  <c r="D154" i="17"/>
  <c r="D116" i="17" s="1"/>
  <c r="D91" i="17" s="1"/>
  <c r="D86" i="17" s="1"/>
  <c r="D72" i="6"/>
  <c r="D44" i="6" s="1"/>
  <c r="D42" i="6" s="1"/>
  <c r="E72" i="6"/>
  <c r="E44" i="6" s="1"/>
  <c r="E42" i="6" s="1"/>
  <c r="F72" i="6"/>
  <c r="C72" i="6"/>
  <c r="C83" i="6"/>
  <c r="C82" i="6"/>
  <c r="F55" i="6"/>
  <c r="F54" i="6" s="1"/>
  <c r="C158" i="6"/>
  <c r="C143" i="6"/>
  <c r="C110" i="6"/>
  <c r="C112" i="6"/>
  <c r="C113" i="6"/>
  <c r="C109" i="6"/>
  <c r="C47" i="6"/>
  <c r="C52" i="6"/>
  <c r="C137" i="6"/>
  <c r="C138" i="6"/>
  <c r="C104" i="6"/>
  <c r="C105" i="6"/>
  <c r="C106" i="6"/>
  <c r="C107" i="6"/>
  <c r="C101" i="6"/>
  <c r="C100" i="6" s="1"/>
  <c r="F64" i="6"/>
  <c r="E11" i="24"/>
  <c r="F9" i="21" s="1"/>
  <c r="C45" i="6" l="1"/>
  <c r="C76" i="6"/>
  <c r="C134" i="6"/>
  <c r="C108" i="6"/>
  <c r="C99" i="6" s="1"/>
  <c r="F14" i="26"/>
  <c r="C151" i="6" l="1"/>
  <c r="D108" i="6"/>
  <c r="E108" i="6"/>
  <c r="F108" i="6"/>
  <c r="D100" i="6"/>
  <c r="D99" i="6" s="1"/>
  <c r="E100" i="6"/>
  <c r="E99" i="6" s="1"/>
  <c r="F100" i="6"/>
  <c r="F53" i="6"/>
  <c r="F44" i="6" s="1"/>
  <c r="F42" i="6" s="1"/>
  <c r="D14" i="6"/>
  <c r="D13" i="6" s="1"/>
  <c r="D12" i="6" s="1"/>
  <c r="E14" i="6"/>
  <c r="F14" i="6"/>
  <c r="C124" i="17"/>
  <c r="C125" i="17"/>
  <c r="C126" i="17"/>
  <c r="E84" i="6" l="1"/>
  <c r="E75" i="6" s="1"/>
  <c r="F99" i="6"/>
  <c r="D84" i="6"/>
  <c r="D75" i="6" l="1"/>
  <c r="G14" i="26" s="1"/>
  <c r="C141" i="6"/>
  <c r="C17" i="6"/>
  <c r="C110" i="17" l="1"/>
  <c r="C108" i="17"/>
  <c r="C107" i="17"/>
  <c r="C104" i="17"/>
  <c r="C105" i="17"/>
  <c r="C103" i="17"/>
  <c r="C96" i="17"/>
  <c r="C97" i="17"/>
  <c r="C98" i="17"/>
  <c r="C99" i="17"/>
  <c r="C95" i="17"/>
  <c r="C245" i="17"/>
  <c r="E161" i="17"/>
  <c r="F161" i="17"/>
  <c r="C158" i="17"/>
  <c r="C160" i="17"/>
  <c r="C163" i="17"/>
  <c r="F155" i="17"/>
  <c r="E155" i="17"/>
  <c r="C129" i="17"/>
  <c r="C130" i="17"/>
  <c r="C131" i="17"/>
  <c r="C132" i="17"/>
  <c r="C133" i="17"/>
  <c r="C136" i="17"/>
  <c r="C138" i="17"/>
  <c r="C139" i="17"/>
  <c r="C140" i="17"/>
  <c r="C141" i="17"/>
  <c r="C128" i="17"/>
  <c r="F242" i="17"/>
  <c r="E142" i="17"/>
  <c r="F142" i="17"/>
  <c r="E127" i="17"/>
  <c r="F127" i="17"/>
  <c r="E118" i="17"/>
  <c r="F118" i="17"/>
  <c r="C253" i="17"/>
  <c r="C254" i="17"/>
  <c r="C255" i="17"/>
  <c r="D69" i="17"/>
  <c r="E69" i="17"/>
  <c r="D59" i="17"/>
  <c r="E59" i="17"/>
  <c r="C17" i="17"/>
  <c r="C20" i="17"/>
  <c r="C21" i="17"/>
  <c r="C22" i="17"/>
  <c r="F18" i="25"/>
  <c r="E18" i="25"/>
  <c r="G18" i="25" l="1"/>
  <c r="F117" i="17"/>
  <c r="E117" i="17"/>
  <c r="F84" i="6"/>
  <c r="F75" i="6" s="1"/>
  <c r="C127" i="17"/>
  <c r="E58" i="17"/>
  <c r="E49" i="17" s="1"/>
  <c r="E44" i="17" s="1"/>
  <c r="C106" i="17"/>
  <c r="C94" i="17"/>
  <c r="D58" i="17"/>
  <c r="D49" i="17" s="1"/>
  <c r="D44" i="17" s="1"/>
  <c r="C161" i="17"/>
  <c r="F154" i="17"/>
  <c r="C102" i="17"/>
  <c r="C109" i="17"/>
  <c r="E154" i="17"/>
  <c r="I19" i="25"/>
  <c r="K17" i="25"/>
  <c r="F17" i="25"/>
  <c r="E17" i="25"/>
  <c r="D17" i="25"/>
  <c r="C17" i="25"/>
  <c r="J14" i="25"/>
  <c r="F13" i="25"/>
  <c r="F12" i="25" s="1"/>
  <c r="E13" i="25"/>
  <c r="E12" i="25" s="1"/>
  <c r="D13" i="25"/>
  <c r="G13" i="25" s="1"/>
  <c r="C12" i="25"/>
  <c r="I11" i="25"/>
  <c r="I10" i="25"/>
  <c r="E9" i="25"/>
  <c r="E8" i="25"/>
  <c r="G8" i="25" s="1"/>
  <c r="K7" i="25"/>
  <c r="J7" i="25"/>
  <c r="D7" i="25"/>
  <c r="C93" i="17" l="1"/>
  <c r="C92" i="17" s="1"/>
  <c r="F116" i="17"/>
  <c r="F91" i="17" s="1"/>
  <c r="F86" i="17" s="1"/>
  <c r="E116" i="17"/>
  <c r="E91" i="17" s="1"/>
  <c r="E86" i="17" s="1"/>
  <c r="F13" i="26"/>
  <c r="E7" i="25"/>
  <c r="E20" i="25" s="1"/>
  <c r="I13" i="25"/>
  <c r="D12" i="25"/>
  <c r="D20" i="25" s="1"/>
  <c r="C20" i="25"/>
  <c r="H14" i="25"/>
  <c r="H12" i="25" s="1"/>
  <c r="H18" i="25"/>
  <c r="H17" i="25" s="1"/>
  <c r="G17" i="25"/>
  <c r="J13" i="25"/>
  <c r="J12" i="25" s="1"/>
  <c r="J20" i="25" s="1"/>
  <c r="F9" i="25"/>
  <c r="G9" i="25" s="1"/>
  <c r="K13" i="25"/>
  <c r="K12" i="25" s="1"/>
  <c r="K20" i="25" s="1"/>
  <c r="I14" i="25"/>
  <c r="I12" i="25" l="1"/>
  <c r="G12" i="25"/>
  <c r="F7" i="25"/>
  <c r="F20" i="25" s="1"/>
  <c r="I18" i="25"/>
  <c r="I17" i="25" s="1"/>
  <c r="H9" i="25"/>
  <c r="I9" i="25" s="1"/>
  <c r="H8" i="25" l="1"/>
  <c r="H7" i="25" s="1"/>
  <c r="H20" i="25" s="1"/>
  <c r="G7" i="25"/>
  <c r="G20" i="25" s="1"/>
  <c r="I8" i="25" l="1"/>
  <c r="I7" i="25" s="1"/>
  <c r="I20" i="25" l="1"/>
  <c r="F8" i="26"/>
  <c r="C56" i="6"/>
  <c r="C57" i="6"/>
  <c r="C58" i="6"/>
  <c r="C59" i="6"/>
  <c r="C60" i="6"/>
  <c r="C61" i="6"/>
  <c r="C63" i="6"/>
  <c r="C65" i="6"/>
  <c r="C66" i="6"/>
  <c r="C67" i="6"/>
  <c r="C68" i="6"/>
  <c r="C69" i="6"/>
  <c r="C70" i="6"/>
  <c r="C71" i="6"/>
  <c r="C55" i="6"/>
  <c r="C37" i="6"/>
  <c r="C43" i="6"/>
  <c r="F28" i="6"/>
  <c r="F13" i="6" s="1"/>
  <c r="F12" i="6" s="1"/>
  <c r="E27" i="6"/>
  <c r="E13" i="6" s="1"/>
  <c r="E12" i="6" s="1"/>
  <c r="C26" i="6"/>
  <c r="C145" i="6"/>
  <c r="C27" i="6" l="1"/>
  <c r="C54" i="6"/>
  <c r="C64" i="6"/>
  <c r="C28" i="6"/>
  <c r="C53" i="6" l="1"/>
  <c r="C44" i="6" s="1"/>
  <c r="C42" i="6" s="1"/>
  <c r="G13" i="24"/>
  <c r="G12" i="24" s="1"/>
  <c r="F16" i="24"/>
  <c r="F15" i="24"/>
  <c r="F14" i="24"/>
  <c r="F13" i="24"/>
  <c r="D19" i="24"/>
  <c r="D18" i="24"/>
  <c r="E19" i="24"/>
  <c r="E18" i="24"/>
  <c r="E15" i="24"/>
  <c r="E14" i="24"/>
  <c r="E16" i="24"/>
  <c r="E13" i="24"/>
  <c r="D15" i="24"/>
  <c r="D16" i="24"/>
  <c r="D14" i="24"/>
  <c r="E10" i="24"/>
  <c r="F8" i="21" s="1"/>
  <c r="F10" i="21" s="1"/>
  <c r="G7" i="26" s="1"/>
  <c r="C17" i="24"/>
  <c r="C12" i="24"/>
  <c r="C7" i="24"/>
  <c r="F17" i="24"/>
  <c r="G17" i="24"/>
  <c r="D7" i="24"/>
  <c r="C192" i="17"/>
  <c r="C193" i="17"/>
  <c r="C194" i="17"/>
  <c r="C195" i="17"/>
  <c r="C196" i="17"/>
  <c r="C197" i="17"/>
  <c r="C199" i="17"/>
  <c r="C200" i="17"/>
  <c r="C201" i="17"/>
  <c r="C202" i="17"/>
  <c r="C203" i="17"/>
  <c r="C205" i="17"/>
  <c r="C206" i="17"/>
  <c r="C207" i="17"/>
  <c r="C208" i="17"/>
  <c r="C209" i="17"/>
  <c r="C211" i="17"/>
  <c r="C212" i="17"/>
  <c r="C213" i="17"/>
  <c r="C214" i="17"/>
  <c r="C215" i="17"/>
  <c r="C217" i="17"/>
  <c r="C218" i="17"/>
  <c r="C219" i="17"/>
  <c r="C220" i="17"/>
  <c r="C221" i="17"/>
  <c r="C53" i="17"/>
  <c r="C54" i="17"/>
  <c r="C55" i="17"/>
  <c r="C57" i="17"/>
  <c r="C51" i="17"/>
  <c r="C31" i="17"/>
  <c r="C32" i="17"/>
  <c r="C29" i="17"/>
  <c r="C16" i="17"/>
  <c r="E7" i="24" l="1"/>
  <c r="G8" i="26" s="1"/>
  <c r="C181" i="17"/>
  <c r="C20" i="24"/>
  <c r="C13" i="17"/>
  <c r="F12" i="24"/>
  <c r="D17" i="24"/>
  <c r="E17" i="24"/>
  <c r="F7" i="24"/>
  <c r="D12" i="24"/>
  <c r="G7" i="24"/>
  <c r="G20" i="24" s="1"/>
  <c r="E12" i="24"/>
  <c r="E20" i="24" l="1"/>
  <c r="F11" i="26"/>
  <c r="F20" i="24"/>
  <c r="D20" i="24"/>
  <c r="C222" i="17"/>
  <c r="C70" i="17"/>
  <c r="C69" i="17" s="1"/>
  <c r="C58" i="17" s="1"/>
  <c r="C49" i="17" s="1"/>
  <c r="C19" i="17"/>
  <c r="C18" i="17"/>
  <c r="C7" i="26" l="1"/>
  <c r="C8" i="26" s="1"/>
  <c r="D7" i="26"/>
  <c r="D8" i="26" s="1"/>
  <c r="D10" i="21"/>
  <c r="E7" i="26" s="1"/>
  <c r="E8" i="26" s="1"/>
  <c r="E10" i="21"/>
  <c r="F7" i="26" s="1"/>
  <c r="A36" i="6" l="1"/>
  <c r="A37" i="6" s="1"/>
  <c r="A38" i="6" s="1"/>
  <c r="A39" i="6" s="1"/>
  <c r="A40" i="6" s="1"/>
  <c r="A41" i="6" s="1"/>
  <c r="I152" i="19" l="1"/>
  <c r="K152" i="19" s="1"/>
  <c r="N152" i="19" s="1"/>
  <c r="I151" i="19"/>
  <c r="K151" i="19" s="1"/>
  <c r="N151" i="19" s="1"/>
  <c r="I150" i="19"/>
  <c r="I149" i="19"/>
  <c r="K149" i="19" s="1"/>
  <c r="N149" i="19" s="1"/>
  <c r="I148" i="19"/>
  <c r="K148" i="19" s="1"/>
  <c r="N148" i="19" s="1"/>
  <c r="I147" i="19"/>
  <c r="K147" i="19" s="1"/>
  <c r="N147" i="19" s="1"/>
  <c r="I146" i="19"/>
  <c r="K146" i="19" s="1"/>
  <c r="N146" i="19" s="1"/>
  <c r="Q146" i="19" s="1"/>
  <c r="I145" i="19"/>
  <c r="K145" i="19" s="1"/>
  <c r="N145" i="19" s="1"/>
  <c r="Q145" i="19" s="1"/>
  <c r="I144" i="19"/>
  <c r="K144" i="19" s="1"/>
  <c r="N144" i="19" s="1"/>
  <c r="I143" i="19"/>
  <c r="K143" i="19" s="1"/>
  <c r="N143" i="19" s="1"/>
  <c r="I142" i="19"/>
  <c r="I141" i="19"/>
  <c r="I140" i="19"/>
  <c r="K140" i="19" s="1"/>
  <c r="N140" i="19" s="1"/>
  <c r="I139" i="19"/>
  <c r="K139" i="19" s="1"/>
  <c r="N139" i="19" s="1"/>
  <c r="I138" i="19"/>
  <c r="K138" i="19" s="1"/>
  <c r="N138" i="19" s="1"/>
  <c r="Q138" i="19" s="1"/>
  <c r="I137" i="19"/>
  <c r="K137" i="19" s="1"/>
  <c r="N137" i="19" s="1"/>
  <c r="I136" i="19"/>
  <c r="K136" i="19" s="1"/>
  <c r="N136" i="19" s="1"/>
  <c r="O136" i="19" s="1"/>
  <c r="I135" i="19"/>
  <c r="K135" i="19" s="1"/>
  <c r="N135" i="19" s="1"/>
  <c r="O135" i="19" s="1"/>
  <c r="I134" i="19"/>
  <c r="K134" i="19" s="1"/>
  <c r="N134" i="19" s="1"/>
  <c r="O134" i="19" s="1"/>
  <c r="I133" i="19"/>
  <c r="K133" i="19" s="1"/>
  <c r="N133" i="19" s="1"/>
  <c r="O133" i="19" s="1"/>
  <c r="I132" i="19"/>
  <c r="K132" i="19" s="1"/>
  <c r="N132" i="19" s="1"/>
  <c r="O132" i="19" s="1"/>
  <c r="I131" i="19"/>
  <c r="K131" i="19" s="1"/>
  <c r="N131" i="19" s="1"/>
  <c r="O131" i="19" s="1"/>
  <c r="I130" i="19"/>
  <c r="K130" i="19" s="1"/>
  <c r="N130" i="19" s="1"/>
  <c r="O130" i="19" s="1"/>
  <c r="I129" i="19"/>
  <c r="K129" i="19" s="1"/>
  <c r="N129" i="19" s="1"/>
  <c r="O129" i="19" s="1"/>
  <c r="I128" i="19"/>
  <c r="K128" i="19" s="1"/>
  <c r="N128" i="19" s="1"/>
  <c r="I127" i="19"/>
  <c r="K127" i="19" s="1"/>
  <c r="N127" i="19" s="1"/>
  <c r="O127" i="19" s="1"/>
  <c r="I126" i="19"/>
  <c r="I125" i="19"/>
  <c r="I124" i="19"/>
  <c r="K124" i="19" s="1"/>
  <c r="N124" i="19" s="1"/>
  <c r="O124" i="19" s="1"/>
  <c r="I123" i="19"/>
  <c r="K123" i="19" s="1"/>
  <c r="N123" i="19" s="1"/>
  <c r="O123" i="19" s="1"/>
  <c r="I122" i="19"/>
  <c r="I121" i="19"/>
  <c r="K121" i="19" s="1"/>
  <c r="N121" i="19" s="1"/>
  <c r="O121" i="19" s="1"/>
  <c r="I120" i="19"/>
  <c r="I119" i="19"/>
  <c r="G118" i="19"/>
  <c r="F118" i="19"/>
  <c r="E118" i="19"/>
  <c r="D118" i="19"/>
  <c r="C118" i="19"/>
  <c r="A63" i="19"/>
  <c r="M61" i="19"/>
  <c r="G61" i="19"/>
  <c r="F61" i="19"/>
  <c r="E61" i="19"/>
  <c r="E8" i="19" s="1"/>
  <c r="E153" i="19" s="1"/>
  <c r="D61" i="19"/>
  <c r="C61" i="19"/>
  <c r="K59" i="19"/>
  <c r="N59" i="19" s="1"/>
  <c r="O59" i="19" s="1"/>
  <c r="M8" i="19"/>
  <c r="L8" i="19"/>
  <c r="L153" i="19" s="1"/>
  <c r="K150" i="19" l="1"/>
  <c r="N150" i="19" s="1"/>
  <c r="P150" i="19" s="1"/>
  <c r="K142" i="19"/>
  <c r="N142" i="19" s="1"/>
  <c r="P142" i="19" s="1"/>
  <c r="K141" i="19"/>
  <c r="N141" i="19" s="1"/>
  <c r="P141" i="19" s="1"/>
  <c r="K109" i="19"/>
  <c r="K61" i="19" s="1"/>
  <c r="I61" i="19"/>
  <c r="K120" i="19"/>
  <c r="N120" i="19" s="1"/>
  <c r="O120" i="19" s="1"/>
  <c r="K122" i="19"/>
  <c r="N122" i="19" s="1"/>
  <c r="O122" i="19" s="1"/>
  <c r="K126" i="19"/>
  <c r="N126" i="19" s="1"/>
  <c r="O126" i="19" s="1"/>
  <c r="K125" i="19"/>
  <c r="N125" i="19" s="1"/>
  <c r="O125" i="19" s="1"/>
  <c r="K119" i="19"/>
  <c r="I8" i="19"/>
  <c r="K11" i="19"/>
  <c r="G8" i="19"/>
  <c r="G153" i="19" s="1"/>
  <c r="F8" i="19"/>
  <c r="F153" i="19" s="1"/>
  <c r="Q106" i="19"/>
  <c r="O63" i="19"/>
  <c r="O67" i="19"/>
  <c r="O57" i="19"/>
  <c r="O12" i="19"/>
  <c r="O68" i="19"/>
  <c r="D8" i="19"/>
  <c r="D153" i="19" s="1"/>
  <c r="C153" i="19"/>
  <c r="O72" i="19"/>
  <c r="P80" i="19"/>
  <c r="Q94" i="19"/>
  <c r="O29" i="19"/>
  <c r="O37" i="19"/>
  <c r="O49" i="19"/>
  <c r="O15" i="19"/>
  <c r="P81" i="19"/>
  <c r="P85" i="19"/>
  <c r="Q99" i="19"/>
  <c r="Q103" i="19"/>
  <c r="M153" i="19"/>
  <c r="O24" i="19"/>
  <c r="O28" i="19"/>
  <c r="O32" i="19"/>
  <c r="O36" i="19"/>
  <c r="O50" i="19"/>
  <c r="O10" i="19"/>
  <c r="O27" i="19"/>
  <c r="O35" i="19"/>
  <c r="O55" i="19"/>
  <c r="O66" i="19"/>
  <c r="O71" i="19"/>
  <c r="P79" i="19"/>
  <c r="P84" i="19"/>
  <c r="Q92" i="19"/>
  <c r="Q102" i="19"/>
  <c r="Q105" i="19"/>
  <c r="Q137" i="19"/>
  <c r="P149" i="19"/>
  <c r="O13" i="19"/>
  <c r="O18" i="19"/>
  <c r="O20" i="19"/>
  <c r="O22" i="19"/>
  <c r="O30" i="19"/>
  <c r="O42" i="19"/>
  <c r="O44" i="19"/>
  <c r="O47" i="19"/>
  <c r="O53" i="19"/>
  <c r="O64" i="19"/>
  <c r="O74" i="19"/>
  <c r="P87" i="19"/>
  <c r="Q97" i="19"/>
  <c r="P143" i="19"/>
  <c r="O16" i="19"/>
  <c r="O25" i="19"/>
  <c r="O33" i="19"/>
  <c r="O38" i="19"/>
  <c r="O40" i="19"/>
  <c r="O51" i="19"/>
  <c r="O69" i="19"/>
  <c r="O77" i="19"/>
  <c r="P82" i="19"/>
  <c r="P90" i="19"/>
  <c r="Q95" i="19"/>
  <c r="Q100" i="19"/>
  <c r="P144" i="19"/>
  <c r="P139" i="19"/>
  <c r="P151" i="19"/>
  <c r="O58" i="19"/>
  <c r="O14" i="19"/>
  <c r="O21" i="19"/>
  <c r="O23" i="19"/>
  <c r="O31" i="19"/>
  <c r="O48" i="19"/>
  <c r="O56" i="19"/>
  <c r="O75" i="19"/>
  <c r="P88" i="19"/>
  <c r="Q93" i="19"/>
  <c r="Q104" i="19"/>
  <c r="P152" i="19"/>
  <c r="O17" i="19"/>
  <c r="O19" i="19"/>
  <c r="O26" i="19"/>
  <c r="O34" i="19"/>
  <c r="O39" i="19"/>
  <c r="O43" i="19"/>
  <c r="O45" i="19"/>
  <c r="O54" i="19"/>
  <c r="O65" i="19"/>
  <c r="O70" i="19"/>
  <c r="O76" i="19"/>
  <c r="P83" i="19"/>
  <c r="Q91" i="19"/>
  <c r="Q101" i="19"/>
  <c r="Q128" i="19"/>
  <c r="Q118" i="19" s="1"/>
  <c r="O41" i="19"/>
  <c r="O52" i="19"/>
  <c r="O73" i="19"/>
  <c r="P86" i="19"/>
  <c r="P147" i="19"/>
  <c r="P148" i="19"/>
  <c r="P89" i="19"/>
  <c r="I118" i="19"/>
  <c r="P118" i="19" l="1"/>
  <c r="P61" i="19"/>
  <c r="Q61" i="19"/>
  <c r="K8" i="19"/>
  <c r="K153" i="19" s="1"/>
  <c r="N11" i="19"/>
  <c r="K118" i="19"/>
  <c r="N109" i="19"/>
  <c r="N119" i="19"/>
  <c r="O119" i="19" s="1"/>
  <c r="O9" i="19"/>
  <c r="I153" i="19"/>
  <c r="J153" i="19"/>
  <c r="N8" i="19" l="1"/>
  <c r="O11" i="19"/>
  <c r="O8" i="19" s="1"/>
  <c r="N61" i="19"/>
  <c r="O109" i="19"/>
  <c r="O61" i="19" s="1"/>
  <c r="D8" i="6" s="1"/>
  <c r="N118" i="19"/>
  <c r="O118" i="19"/>
  <c r="Q153" i="19"/>
  <c r="P153" i="19"/>
  <c r="E9" i="6" s="1"/>
  <c r="O153" i="19" l="1"/>
  <c r="D7" i="6" s="1"/>
  <c r="N153" i="19"/>
  <c r="F10" i="6"/>
  <c r="F7" i="6" s="1"/>
  <c r="C9" i="6"/>
  <c r="E7" i="6"/>
  <c r="C8" i="6"/>
  <c r="A47" i="17"/>
  <c r="A48" i="17" s="1"/>
  <c r="A30" i="17"/>
  <c r="A31" i="17" s="1"/>
  <c r="A32" i="17" s="1"/>
  <c r="A33" i="17" s="1"/>
  <c r="G10" i="26" l="1"/>
  <c r="C10" i="6"/>
  <c r="C7" i="6" s="1"/>
  <c r="A16" i="17"/>
  <c r="A17" i="17" s="1"/>
  <c r="A18" i="17" l="1"/>
  <c r="A19" i="17" s="1"/>
  <c r="A20" i="17" s="1"/>
  <c r="A21" i="17" s="1"/>
  <c r="A22" i="17" s="1"/>
  <c r="A23" i="17" s="1"/>
  <c r="A24" i="17" s="1"/>
  <c r="A25" i="17" s="1"/>
  <c r="A26" i="17" s="1"/>
  <c r="A27" i="17" s="1"/>
  <c r="C39" i="15"/>
  <c r="F39" i="15" s="1"/>
  <c r="C23" i="15"/>
  <c r="F23" i="15" s="1"/>
  <c r="C13" i="15"/>
  <c r="C12" i="15" l="1"/>
  <c r="F13" i="15"/>
  <c r="C22" i="15"/>
  <c r="C20" i="15" s="1"/>
  <c r="F22" i="15" l="1"/>
  <c r="F20" i="15" s="1"/>
  <c r="F28" i="15" s="1"/>
  <c r="C11" i="15"/>
  <c r="F12" i="15"/>
  <c r="F11" i="15" s="1"/>
  <c r="F7" i="17"/>
  <c r="C19" i="15" l="1"/>
  <c r="C28" i="15"/>
  <c r="F19" i="15"/>
  <c r="C27" i="15"/>
  <c r="C10" i="17"/>
  <c r="D7" i="17"/>
  <c r="D6" i="17" s="1"/>
  <c r="F10" i="26" l="1"/>
  <c r="F9" i="26" s="1"/>
  <c r="F27" i="15"/>
  <c r="C8" i="17"/>
  <c r="E7" i="17"/>
  <c r="E6" i="17" l="1"/>
  <c r="C9" i="17"/>
  <c r="C7" i="17" s="1"/>
  <c r="C45" i="17" l="1"/>
  <c r="C44" i="17" s="1"/>
  <c r="C15" i="6"/>
  <c r="C16" i="6"/>
  <c r="C22" i="6"/>
  <c r="C23" i="6"/>
  <c r="C14" i="6" l="1"/>
  <c r="C157" i="17" l="1"/>
  <c r="C159" i="17"/>
  <c r="C155" i="17" l="1"/>
  <c r="C154" i="17" s="1"/>
  <c r="C56" i="17"/>
  <c r="C33" i="17"/>
  <c r="C30" i="17"/>
  <c r="C23" i="17"/>
  <c r="C11" i="17" s="1"/>
  <c r="C52" i="17"/>
  <c r="C36" i="6"/>
  <c r="C33" i="6"/>
  <c r="C144" i="6"/>
  <c r="C21" i="6"/>
  <c r="C20" i="6"/>
  <c r="C19" i="6"/>
  <c r="C41" i="6"/>
  <c r="C35" i="6"/>
  <c r="C38" i="6"/>
  <c r="C24" i="6"/>
  <c r="C18" i="6"/>
  <c r="C30" i="6"/>
  <c r="C31" i="6"/>
  <c r="C29" i="6"/>
  <c r="C140" i="6"/>
  <c r="C28" i="17" l="1"/>
  <c r="C139" i="6"/>
  <c r="C13" i="6"/>
  <c r="C12" i="6" s="1"/>
  <c r="C34" i="6"/>
  <c r="C119" i="17"/>
  <c r="C84" i="6" l="1"/>
  <c r="C118" i="17"/>
  <c r="C117" i="17" s="1"/>
  <c r="C116" i="17" s="1"/>
  <c r="C252" i="17"/>
  <c r="C242" i="17" s="1"/>
  <c r="C75" i="6" l="1"/>
  <c r="C91" i="17"/>
  <c r="F58" i="17"/>
  <c r="F49" i="17" s="1"/>
  <c r="F44" i="17" s="1"/>
  <c r="F6" i="17" s="1"/>
  <c r="E157" i="6"/>
  <c r="F157" i="6"/>
  <c r="C157" i="6"/>
  <c r="D157" i="6"/>
  <c r="G13" i="26"/>
  <c r="G11" i="26"/>
  <c r="C86" i="17" l="1"/>
  <c r="C6" i="17" s="1"/>
  <c r="G15" i="26"/>
  <c r="G9" i="26" s="1"/>
  <c r="D6" i="6"/>
  <c r="F6" i="6"/>
  <c r="C6" i="6"/>
  <c r="E6" i="6"/>
</calcChain>
</file>

<file path=xl/sharedStrings.xml><?xml version="1.0" encoding="utf-8"?>
<sst xmlns="http://schemas.openxmlformats.org/spreadsheetml/2006/main" count="1877" uniqueCount="1174">
  <si>
    <t>Nội dung</t>
  </si>
  <si>
    <t>II</t>
  </si>
  <si>
    <t>Tiền két công đức</t>
  </si>
  <si>
    <t>III</t>
  </si>
  <si>
    <t>Tiền dịch vụ</t>
  </si>
  <si>
    <t>I</t>
  </si>
  <si>
    <t>STT</t>
  </si>
  <si>
    <t>Côn Sơn - Kiếp Bạc</t>
  </si>
  <si>
    <t>Kinh Môn</t>
  </si>
  <si>
    <t>Cẩm Giàng</t>
  </si>
  <si>
    <t>Số nộp NSNN/đơn vị cấp trên</t>
  </si>
  <si>
    <t>Chi thường xuyên</t>
  </si>
  <si>
    <t>Chi lễ hội</t>
  </si>
  <si>
    <t>Chi đặc thù</t>
  </si>
  <si>
    <t>C</t>
  </si>
  <si>
    <t>A</t>
  </si>
  <si>
    <t>B</t>
  </si>
  <si>
    <t>D</t>
  </si>
  <si>
    <t>Chi phí đầu vào các hoạt động kinh doanh</t>
  </si>
  <si>
    <t>Chi phí khác</t>
  </si>
  <si>
    <t>Đơn vị: đồng</t>
  </si>
  <si>
    <t>Nội dung thu</t>
  </si>
  <si>
    <t>Tổng cộng</t>
  </si>
  <si>
    <t>IV</t>
  </si>
  <si>
    <t>Ghi chú</t>
  </si>
  <si>
    <t>Dự toán chi thường xuyên năm 2026</t>
  </si>
  <si>
    <t>Thang rút phục vụ treo, sửa sữa biển bảng tuyên tuyền</t>
  </si>
  <si>
    <t>Bộ máy cắt, lưỡi cắt phục vụ sửa chữa biển bảng</t>
  </si>
  <si>
    <t xml:space="preserve">Làm phim tư liệu Hành trình Di sản thế giới 5 điểm di tích thành phần Di sản thế giới tây Hải Phòng </t>
  </si>
  <si>
    <t>Chi mua hoa, cây cảnh tại khu di tích Côn Sơn</t>
  </si>
  <si>
    <t>Chi mua hoa, cây cảnh tại khu di tích Kinh Môn</t>
  </si>
  <si>
    <t>Chi mua hoa, cây cảnh tại khu di tích Cẩm Giàng</t>
  </si>
  <si>
    <t>In + căng bạt hiflex biển chỉ dẫn tại Ngã ba đầu Rồng, KT 4m*8,6m*2 mặt</t>
  </si>
  <si>
    <t>Chi tiền mua phân bón tại các di tích</t>
  </si>
  <si>
    <t>Máy lắp đặt mô tơ máy bơm (3 cái*35tr)</t>
  </si>
  <si>
    <t>Mua máy cưa dùng pin (4 cái*13,3tr)</t>
  </si>
  <si>
    <t>Dây điện 3 pha, dây cáp đồng (75m)</t>
  </si>
  <si>
    <t>Tổ chức điều tra, khảo sát, xây dựng Đề án bảo tồn, phát huy giá trị các di tích thành phần Di sản thế giới Côn Sơn - Kiếp Bạc - Thanh Mai - Kính Chủ - Nhẫm Dương</t>
  </si>
  <si>
    <t>Chi phí, đi lại, ăn, nghỉ cho công tác điều tra, khảo sát di tích</t>
  </si>
  <si>
    <t>Chi phí cho đơn vị Quản lý và tổ chức chủ trì</t>
  </si>
  <si>
    <t>Hội đồng nghiệm thu và công bố</t>
  </si>
  <si>
    <t>Nhân bánh đậu xanh</t>
  </si>
  <si>
    <t>Bao bì, tem, mác</t>
  </si>
  <si>
    <t>Túi đựng</t>
  </si>
  <si>
    <t>Công luồn dây vào túi đựng</t>
  </si>
  <si>
    <t>Thùng carton</t>
  </si>
  <si>
    <t>Chụp, quay sản phẩm, catalog quảng cáo</t>
  </si>
  <si>
    <t>Quảng cáo sản phẩm trên các mạng xã hội</t>
  </si>
  <si>
    <t>Sản phẩm dùng thử cho khách hàng trải nghiệm</t>
  </si>
  <si>
    <t>Chi phí chăm bón hồ sen (phân bón, thuốc, công, ...) * 3 tháng</t>
  </si>
  <si>
    <t>Công hái sen và vận chuyển</t>
  </si>
  <si>
    <t>Chi phí sấy lạnh</t>
  </si>
  <si>
    <t>Chi phí hút chân không</t>
  </si>
  <si>
    <t>Điện nước, vật tư sản xuất</t>
  </si>
  <si>
    <t>CÁC KHOẢN PHỤ CẤP</t>
  </si>
  <si>
    <t xml:space="preserve"> Bảo hiểm 23,5% BH trừ vào chi phí
(Đồng)</t>
  </si>
  <si>
    <t>Lương làm thêm giờ</t>
  </si>
  <si>
    <t>Tổng các 
khoản phụ cấp</t>
  </si>
  <si>
    <t>Phụ cấp TNVK</t>
  </si>
  <si>
    <t>PC chức vụ</t>
  </si>
  <si>
    <t>PC trách nhiệm</t>
  </si>
  <si>
    <t>Số giờ làm thêm/ năm</t>
  </si>
  <si>
    <t>TỔNG SỐ</t>
  </si>
  <si>
    <t>Đơn vị tính: Đồng</t>
  </si>
  <si>
    <t>Hệ Số lương cơ bản/ số tiền</t>
  </si>
  <si>
    <t xml:space="preserve"> Bảo hiểm 23,5% BH trừ vào chi phí</t>
  </si>
  <si>
    <t xml:space="preserve">Hưởng lương do nâng bậc lương thường xuyên </t>
  </si>
  <si>
    <t>PC độc hại nguy hiểm</t>
  </si>
  <si>
    <t>Khoán công tác phí</t>
  </si>
  <si>
    <t>Thành tiền</t>
  </si>
  <si>
    <t>2=3+4+5+6</t>
  </si>
  <si>
    <t>5</t>
  </si>
  <si>
    <t>6</t>
  </si>
  <si>
    <t>Viên chức</t>
  </si>
  <si>
    <t>Nguyễn Thị Thùy Liên</t>
  </si>
  <si>
    <t>Lê Duy Mạnh</t>
  </si>
  <si>
    <t>Nguyễn Văn Cường</t>
  </si>
  <si>
    <t>Nguyễn Văn Qúy</t>
  </si>
  <si>
    <t>Nguyễn Thị Vân</t>
  </si>
  <si>
    <t>Vũ Thị Lan Anh</t>
  </si>
  <si>
    <t>Nguyễn Xuân Tám</t>
  </si>
  <si>
    <t>Trần Thị Ngọc Minh</t>
  </si>
  <si>
    <t>Nguyễn Khắc Hạnh</t>
  </si>
  <si>
    <t>Hoàng Công Chiến</t>
  </si>
  <si>
    <t>Nguyễn Thị Dịu</t>
  </si>
  <si>
    <t>Nguyễn Đình Đông</t>
  </si>
  <si>
    <t>Mạc Văn Hải</t>
  </si>
  <si>
    <t>Hoàng Công Phương</t>
  </si>
  <si>
    <t>Lê Thị Phượng</t>
  </si>
  <si>
    <t>Trần Thị Hoài</t>
  </si>
  <si>
    <t>Nguyễn Xuân Tráng</t>
  </si>
  <si>
    <t>Phạm Thị Phương Chi</t>
  </si>
  <si>
    <t>Lê Thị Yến</t>
  </si>
  <si>
    <t>Bùi Thị Cẩm Vân</t>
  </si>
  <si>
    <t>Nguyễn Thị Ngọc Xuân</t>
  </si>
  <si>
    <t>Nguyễn Thị Thu Dung</t>
  </si>
  <si>
    <t>Đinh Thị Liên</t>
  </si>
  <si>
    <t>Phạm Thị Huệ</t>
  </si>
  <si>
    <t>Hoàng Thị Thảo</t>
  </si>
  <si>
    <t>Phạm Quang Vinh</t>
  </si>
  <si>
    <t>Nguyễn Quỳnh Giao</t>
  </si>
  <si>
    <t>Nguyễn Thị Huyền Trang</t>
  </si>
  <si>
    <t>Tăng Thị Huế</t>
  </si>
  <si>
    <t>Phạm Khắc Cường</t>
  </si>
  <si>
    <t>Vũ Đại Dương</t>
  </si>
  <si>
    <t>Ngô Thị Lượng</t>
  </si>
  <si>
    <t>Nguyễn Thị Tuyết Nhung</t>
  </si>
  <si>
    <t>Lê Thị Bé</t>
  </si>
  <si>
    <t>Nguyễn Đức Hòa</t>
  </si>
  <si>
    <t>Nguyễn Đức Huy</t>
  </si>
  <si>
    <t>Cao Đức Thắng</t>
  </si>
  <si>
    <t>Nguyễn Văn Học</t>
  </si>
  <si>
    <t>Nguyễn Đức Nghĩa</t>
  </si>
  <si>
    <t>Nguyễn Doãn Đài</t>
  </si>
  <si>
    <t>Nguyễn Thị Hường</t>
  </si>
  <si>
    <t>Nguyễn Thị Trang</t>
  </si>
  <si>
    <t>Phạm Thị Bích Huệ</t>
  </si>
  <si>
    <t>Nguyễn Thị Thanh</t>
  </si>
  <si>
    <t>Nguyễn Thị Thùy Linh</t>
  </si>
  <si>
    <t>Nguyễn Thị Thu Hằng</t>
  </si>
  <si>
    <t>Lê Thị Thương</t>
  </si>
  <si>
    <t>Nguyễn Thị Ánh Tuyết</t>
  </si>
  <si>
    <t>Nguyễn Văn Trường</t>
  </si>
  <si>
    <t>Hà Quang Thành</t>
  </si>
  <si>
    <t>Lê Thị Thoa</t>
  </si>
  <si>
    <t>Hợp đồng lao động theo Nghị định 111/2022/NĐ-CP</t>
  </si>
  <si>
    <t>Vũ Duy Đức</t>
  </si>
  <si>
    <t>Nguyễn Văn Tân</t>
  </si>
  <si>
    <t>Trần Ngọc Tuân</t>
  </si>
  <si>
    <t>Đặng Trần Cường</t>
  </si>
  <si>
    <t>Phùng Thị Hòa</t>
  </si>
  <si>
    <t>Trần Văn Khoa</t>
  </si>
  <si>
    <t>Nguyễn Văn Hậu</t>
  </si>
  <si>
    <t>Nguyễn Hữu Giáp</t>
  </si>
  <si>
    <t>Phạm Bá Thắng</t>
  </si>
  <si>
    <t>Trần Văn An</t>
  </si>
  <si>
    <t>Vũ Nam Phương</t>
  </si>
  <si>
    <t>Phạm Khắc Hải</t>
  </si>
  <si>
    <t>Nguyễn Hữu Lộc</t>
  </si>
  <si>
    <t>Phùng Đức Thắng</t>
  </si>
  <si>
    <t>Lưu Như Quỳnh</t>
  </si>
  <si>
    <t>Đinh Văn Hải</t>
  </si>
  <si>
    <t>Trần Đình Chung</t>
  </si>
  <si>
    <t>Trần Văn Đoàn</t>
  </si>
  <si>
    <t>Trương Công Huấn</t>
  </si>
  <si>
    <t>Phạm Khắc Lâm</t>
  </si>
  <si>
    <t>Nguyễn Đức Ngọc</t>
  </si>
  <si>
    <t>Phạm Khắc Toàn</t>
  </si>
  <si>
    <t>Vũ Văn Luật</t>
  </si>
  <si>
    <t>Lê Hùng Cường</t>
  </si>
  <si>
    <t>Chu Hoài Nam</t>
  </si>
  <si>
    <t>Nguyễn Khắc Thành</t>
  </si>
  <si>
    <t>Hoàng Anh Hoài Sơn</t>
  </si>
  <si>
    <t>Phạm Thị Kim Ngọc</t>
  </si>
  <si>
    <t>Đõ Văn Khánh</t>
  </si>
  <si>
    <t>Nguyễn Thị Hân</t>
  </si>
  <si>
    <t>Nguyễn Văn Hòa</t>
  </si>
  <si>
    <t>Nguyễn Văn Liên</t>
  </si>
  <si>
    <t>Hoàng Văn Lực</t>
  </si>
  <si>
    <t>Bùi Quang Lưu</t>
  </si>
  <si>
    <t>Nguyễn Văn Quang</t>
  </si>
  <si>
    <t>Phạm Khắc Kiên</t>
  </si>
  <si>
    <t>Đỗ Văn Tân</t>
  </si>
  <si>
    <t>Phạm Văn Tạo</t>
  </si>
  <si>
    <t>Phạm Khắc Thắng</t>
  </si>
  <si>
    <t>Phạm Văn Thức</t>
  </si>
  <si>
    <t>Phạm Khắc Tiến</t>
  </si>
  <si>
    <t>Đinh Văn Tuân</t>
  </si>
  <si>
    <t>Giáp Văn Tuấn</t>
  </si>
  <si>
    <t>Phạm Khắc Tuân</t>
  </si>
  <si>
    <t>Đào Văn Chung</t>
  </si>
  <si>
    <t>Nguyễn Văn Chiều</t>
  </si>
  <si>
    <t>Nguyễn Văn Côi</t>
  </si>
  <si>
    <t>Nguyễn Kim Thuận</t>
  </si>
  <si>
    <t>Đào Văn Tiền</t>
  </si>
  <si>
    <t>Nguyễn Doãn Cường</t>
  </si>
  <si>
    <t>Nguyễn Văn Anh</t>
  </si>
  <si>
    <t>Nguyễn Tiến Quân</t>
  </si>
  <si>
    <t>Nguyễn Thị Đức</t>
  </si>
  <si>
    <t>Ngô Thị Kim Huyền</t>
  </si>
  <si>
    <t>Hoàng Thị Kim Huyền</t>
  </si>
  <si>
    <t>Hợp đồng khoán</t>
  </si>
  <si>
    <t>Trần Thị Đào</t>
  </si>
  <si>
    <t>Nguyễn Văn Biên</t>
  </si>
  <si>
    <t>Phạm Khắc Hồng</t>
  </si>
  <si>
    <t>Trần Văn Trung</t>
  </si>
  <si>
    <t>Nguyễn Thị Chuyên</t>
  </si>
  <si>
    <t>Phạm Thị Khánh</t>
  </si>
  <si>
    <t>Phạm Thị Thơm</t>
  </si>
  <si>
    <t>Đoàn Văn Sơn</t>
  </si>
  <si>
    <t>Đặng Thị Thúy Nga</t>
  </si>
  <si>
    <t>Phạm Thị Phượng</t>
  </si>
  <si>
    <t>Nguyễn Thị Cảnh</t>
  </si>
  <si>
    <t>Đặng Thị Chí</t>
  </si>
  <si>
    <t>Nguyễn Thị Tú</t>
  </si>
  <si>
    <t>Trần Thị Thắm</t>
  </si>
  <si>
    <t>Nguyễn Thị An</t>
  </si>
  <si>
    <t>Đinh Thị Nhâm</t>
  </si>
  <si>
    <t>Phạm Thị Tuyết</t>
  </si>
  <si>
    <t>Phạm Thị Vân</t>
  </si>
  <si>
    <t>Nguyễn Thị Hỵ</t>
  </si>
  <si>
    <t>Nguyễn Văn Trung</t>
  </si>
  <si>
    <t>Phạm Thị Hiên</t>
  </si>
  <si>
    <t>Đỗ Viết Long</t>
  </si>
  <si>
    <t>Nguyễn Thị Hoan</t>
  </si>
  <si>
    <t>Phạm Thị Dừa</t>
  </si>
  <si>
    <t>Bùi Xuân Lộc</t>
  </si>
  <si>
    <t>Bùi Xuân Mức</t>
  </si>
  <si>
    <t>Lê Duy Cường</t>
  </si>
  <si>
    <t>Hoàng Thị Hương</t>
  </si>
  <si>
    <t>Lê Khắc Huy</t>
  </si>
  <si>
    <t>Nguyễn Thị Nền</t>
  </si>
  <si>
    <t>Nguyễn Thị Đạm</t>
  </si>
  <si>
    <t>Nguyễn Thị Bẩy</t>
  </si>
  <si>
    <t>Nguyễn Đức Luyện</t>
  </si>
  <si>
    <t>Nguyễn Thị Hương</t>
  </si>
  <si>
    <t>Tổng dự kiến 
năm 2026</t>
  </si>
  <si>
    <t>Tổng lương 
và các khoản 
phụ cấp năm 2026</t>
  </si>
  <si>
    <t>TỔNG HỢP THU, CHI CÁC NGUỒN THU 
TẠI BAN QLDT CÔN SƠN - KIẾP BẠC NĂM 2024 (Trước sáp nhập)</t>
  </si>
  <si>
    <t>Năm 2024</t>
  </si>
  <si>
    <t>Phần thu</t>
  </si>
  <si>
    <t>Phần nộp cấp trên/NSNN</t>
  </si>
  <si>
    <t>Nộp NSNN/thuế theo quy định</t>
  </si>
  <si>
    <t>Nộp 5% tiền công đức cho Sở VHTTDL</t>
  </si>
  <si>
    <t>Số trả đơn vị khác</t>
  </si>
  <si>
    <t>Tiền dầu nhang nhà chùa Côn Sơn</t>
  </si>
  <si>
    <t>Để lại chi theo quy định</t>
  </si>
  <si>
    <t>V</t>
  </si>
  <si>
    <t xml:space="preserve">Số chi </t>
  </si>
  <si>
    <t>Chi cho con người</t>
  </si>
  <si>
    <t>Chi hành chính</t>
  </si>
  <si>
    <t>Chi khác</t>
  </si>
  <si>
    <t>Chi đặc thù (đầu tư tôn tạo di tích…)</t>
  </si>
  <si>
    <t>Biểu số 02</t>
  </si>
  <si>
    <t>Dự toán thu đầu năm 2025</t>
  </si>
  <si>
    <t>Tiền Két công đức</t>
  </si>
  <si>
    <t>Tiền Dịch vụ</t>
  </si>
  <si>
    <t>Biểu số 03</t>
  </si>
  <si>
    <t>Chi từ nguồn phí</t>
  </si>
  <si>
    <t xml:space="preserve">Ghi chú </t>
  </si>
  <si>
    <t xml:space="preserve">Chi tiết theo Biểu 03.1 </t>
  </si>
  <si>
    <t xml:space="preserve">Mua máy in hóa đơn điện tử: 5 cái x 5 triệu </t>
  </si>
  <si>
    <t>Mua hóa đơn điện tử: 250.000 hóa đơn x 100 đồng</t>
  </si>
  <si>
    <t>Vật tư, dụng cụ văn phòng phẩm (mực dấu, bút xóa, ghim, cặp cúc….)</t>
  </si>
  <si>
    <t>Chi phí công chứng, chứng thực</t>
  </si>
  <si>
    <t>Chi mua áo mưa phục vụ chống bão: 100 bộ x 300.000đ</t>
  </si>
  <si>
    <t>Mua đèn pin: 50 cái x 100.000đ</t>
  </si>
  <si>
    <t>Mua ủng cao su: 100 đôi x 100.000đ</t>
  </si>
  <si>
    <t>Cát, bao tải đựng cát, dây dứa</t>
  </si>
  <si>
    <t>Dây thép buộc cây, dây thừng, dây dứa</t>
  </si>
  <si>
    <t>Mua dóc chống cây: 1.000 cây x 25.000đ</t>
  </si>
  <si>
    <t>Dao, xẻng, kìm, cuốc…</t>
  </si>
  <si>
    <t>Thang tre: 2 cái x 500.000đ</t>
  </si>
  <si>
    <t>Dầu chạy máy phát điện: 2.000 lít x 20.000đ</t>
  </si>
  <si>
    <t>Các chi phí phát sinh khác trong bão</t>
  </si>
  <si>
    <t>*</t>
  </si>
  <si>
    <t>Nhân công đóng gói, bảo quản</t>
  </si>
  <si>
    <t>Vận chuyển nguyên liệu + thành phẩm</t>
  </si>
  <si>
    <t>Sửa chữa kho bảo quản, lắp giá kê</t>
  </si>
  <si>
    <t>Kiểm định, giấy chứng nhận sản phẩm</t>
  </si>
  <si>
    <t>Nhân công chế biến, đóng gói</t>
  </si>
  <si>
    <t>Công vận chuyển hàng</t>
  </si>
  <si>
    <t>Chi phí xử lý rác thải đặc biệt tại khu di tích</t>
  </si>
  <si>
    <t>Chi phí thuê dịch vụ làm vệ sinh, bảo trì hồ nước quanh di tích</t>
  </si>
  <si>
    <t xml:space="preserve">C  </t>
  </si>
  <si>
    <t>Khu di tích Côn Sơn - Kiếp Bạc</t>
  </si>
  <si>
    <t>In + căng bạt hiflex Di sản thế giới đầu Hồ sen phía Nam Kiếp Bạc, KT 3m*5,5m*2 mặt</t>
  </si>
  <si>
    <t>Di tích chùa Thanh Mai</t>
  </si>
  <si>
    <t>In + căng bạt chỉ dẫn tại Ngã ba Thanh Mai, KT 3m*5,5m*2 mặt</t>
  </si>
  <si>
    <t>Cụm di tích Kinh Môn</t>
  </si>
  <si>
    <t>Cụm di tích Cẩm Giàng</t>
  </si>
  <si>
    <t>Chi phí phục vụ cho việc thực hiện công việc, dịch vụ và thu phí cho 14 điểm di tích</t>
  </si>
  <si>
    <t>Chi mua chè, nước tiếp các đoàn khách về làm việc</t>
  </si>
  <si>
    <t>Chi sửa chữa thường xuyên tài sản, máy móc, thiết bị trực tiếp phục vụ công việc, dịch vụ và thu phí</t>
  </si>
  <si>
    <t>Thuê xe cẩu dựng lại cây xanh đổ, dọn vệ sinh sau bão</t>
  </si>
  <si>
    <t>Sửa chữa thiết bị văn phòng (máy tính, máy in, máy photocopy…)</t>
  </si>
  <si>
    <t>Chi mua sắm vật tư, nguyên liệu liên quan đến việc thực hiện công việc, dịch vụ và thu phí</t>
  </si>
  <si>
    <t>Bộ súng bắn vít phục vụ sửa chữa biển bảng thường xuyên</t>
  </si>
  <si>
    <t>Chi bảo dưỡng hệ thống PCCC tại các di tích</t>
  </si>
  <si>
    <t>Các khoản chi khác liên quan đến thực hiện công việc, dịch vụ và thu phí</t>
  </si>
  <si>
    <t>Đồng phục bảo vệ, bán vé, soát vé, thuyết minh, lễ tân: 48 người x 1.000.000 đồng/bộ</t>
  </si>
  <si>
    <t>Mua quạt hơi nước phục vụ bán soát vé tại các cổng vé: 5 cái x 5.000.0000đ</t>
  </si>
  <si>
    <t>a</t>
  </si>
  <si>
    <t>b</t>
  </si>
  <si>
    <t>Chi các hội nghị tổ chức tại di tích (tài liệu, nước uống,loa đài...)</t>
  </si>
  <si>
    <t>Sửa chữa máy bơm, hệ thống nước tưới cây cảnh, phục vụ nhà vệ sinh công cộng….</t>
  </si>
  <si>
    <t>Bổ sung máy tính phục vụ sưu tầm, nghiên cứu tài liệu chuyên môn tại hai khu di tích Kinh Môn, Cẩm Giàng: 2 bộ x 15.000.000đ</t>
  </si>
  <si>
    <t>c</t>
  </si>
  <si>
    <t xml:space="preserve">Chi phí đầu vào các hoạt động kinh doanh các sản phẩm </t>
  </si>
  <si>
    <t>Chè Thái Nguyên</t>
  </si>
  <si>
    <t>Điện bảo quản tủ đông, vật tư sản xuất</t>
  </si>
  <si>
    <t>In + căng bạt hiflex biển tuyên truyền tại cổng vé phía đông Côn Sơn, KT 4m*8,5mx2 mặt</t>
  </si>
  <si>
    <t>In + căng bạt hiflex biển tuyên truyền cổng vé phía Tây khu di tích Côn Sơn, KT 5m*10,5m</t>
  </si>
  <si>
    <t xml:space="preserve"> In + căng bạt hiflex biển chỉ dẫn đầu QL 18 tại cây xăng Đại Tân, KT 3m*5,5m*2 mặt</t>
  </si>
  <si>
    <t xml:space="preserve"> In + căng bạt hiflex biển chỉ dẫn đầu đập Phú Lợi, KT 3m*5m</t>
  </si>
  <si>
    <t>d</t>
  </si>
  <si>
    <t>Biển cổng chào chùa Nhẫm Dương, KT 7m*0,7m</t>
  </si>
  <si>
    <t>Chi nhiệm vụ không thường xuyên</t>
  </si>
  <si>
    <t>Quét 3D cổng đền Kiếp Bạc: quét 3D công trình tại hiện trường, xử lý dữ liệu đám mây điểm, dựng hình 3D và kết cấu vật liệu…</t>
  </si>
  <si>
    <t>Chi đổ mực máy in, máy photo: 1,8 triệu x 12 tháng</t>
  </si>
  <si>
    <t>Tiền nước sạch sinh hoạt: 3 triệu x 12 tháng</t>
  </si>
  <si>
    <t>Tuyên truyền, quảng cáo trên các báo Hải Phòng, báo nhân dân, tạp chí, Mekong Asean, trang mạng…về di sản thế giới</t>
  </si>
  <si>
    <t>Tiền lương, tiền công chi từ nguồn phí tham quan</t>
  </si>
  <si>
    <t xml:space="preserve">II </t>
  </si>
  <si>
    <t>Công biên soạn đề án (cho chủ nhiệm đề án và các thành viên)</t>
  </si>
  <si>
    <t>Cỏ nhật phủ nền xanh</t>
  </si>
  <si>
    <t>Hoa xác pháo tạo hình chữ Kiếp Bạc</t>
  </si>
  <si>
    <t>Phân bón hữu cơ + đất bổ sung</t>
  </si>
  <si>
    <t>Đèn LED hắt sáng ngoài trời</t>
  </si>
  <si>
    <t>Hoa cúc mâm xôi vàng trang trí viền ngoài</t>
  </si>
  <si>
    <t>Hoa đào chậu lớn đặt 2 bên đền</t>
  </si>
  <si>
    <t>Khung sắt sơn tĩnh điện, 3,5m*5m</t>
  </si>
  <si>
    <t>Cúc mâm xôi vàng trang trí vòm</t>
  </si>
  <si>
    <t>Dây LED vàng ấm</t>
  </si>
  <si>
    <t>Đôi quang gánh, nón lá</t>
  </si>
  <si>
    <t>Cúc vàng, vạn thọ</t>
  </si>
  <si>
    <t>Đèn lồng đỏ treo</t>
  </si>
  <si>
    <t>Cầu Thấu Ngọc</t>
  </si>
  <si>
    <t>Cúc vạn thọ xếp bậc thang</t>
  </si>
  <si>
    <t>Đền Nguyễn Trãi</t>
  </si>
  <si>
    <t>Hoa trạng nguyên, cúc vạn thọ xếp hai bên đường lối vào đền</t>
  </si>
  <si>
    <t>Chi phí bảo dưỡng, chăm sóc cây hoa phục vụ Tết và lễ hội</t>
  </si>
  <si>
    <t>Văn Miếu Mao Điền</t>
  </si>
  <si>
    <t>Cờ thần đại (4,5m*4,5m)</t>
  </si>
  <si>
    <t>Cờ thần nhỡ (1,5m*1,5m)</t>
  </si>
  <si>
    <t xml:space="preserve">Cờ Hồng kỳ nhỏ trên bảng trích </t>
  </si>
  <si>
    <t>Cờ Hồng kỳ nhỏ trên tam quan</t>
  </si>
  <si>
    <t>Tre dóc làm cán cờ</t>
  </si>
  <si>
    <t>Đền Bia</t>
  </si>
  <si>
    <t>Cờ thần đại (3m*3m)</t>
  </si>
  <si>
    <t>Cờ Tổ quốc (4,5m*3m)</t>
  </si>
  <si>
    <t>Cờ Tổ quốc (3m*2m)</t>
  </si>
  <si>
    <t>Đền Xưa</t>
  </si>
  <si>
    <t>Động Kính Chủ</t>
  </si>
  <si>
    <t>Đền Cao An Phụ</t>
  </si>
  <si>
    <t xml:space="preserve">Bổ sung máy bơm, dây dẫn phục vụ việc tưới cây </t>
  </si>
  <si>
    <t>Côn Sơn</t>
  </si>
  <si>
    <t>Cờ dây nheo</t>
  </si>
  <si>
    <t>Kiếp Bạc</t>
  </si>
  <si>
    <t>Đền Nguyễn Trãi, đền Trần Nguyên Đán</t>
  </si>
  <si>
    <t>Cờ thần, cờ hội</t>
  </si>
  <si>
    <t>Sửa chữa thiết bị điện tại các di tích</t>
  </si>
  <si>
    <t>Sửa chữa hệ thống điện chiếu sáng tại ban tam bảo chùa Thanh Mai</t>
  </si>
  <si>
    <t>Sửa chữa hệ thống điện chiếu sáng tại đền Cao An Phụ và Động Kính Chủ</t>
  </si>
  <si>
    <t>TT</t>
  </si>
  <si>
    <t>Năm 2022</t>
  </si>
  <si>
    <t>Năm 2023</t>
  </si>
  <si>
    <t>Cộng</t>
  </si>
  <si>
    <t>Mức phí thu hiện tại</t>
  </si>
  <si>
    <t>Để lại đơn vị</t>
  </si>
  <si>
    <t>Nộp ngân sách nhà nước</t>
  </si>
  <si>
    <t>Đơn vị: Đồng</t>
  </si>
  <si>
    <t>Khoản mục chi phí</t>
  </si>
  <si>
    <t>Chi từ nguồn phí, lệ phí để lại</t>
  </si>
  <si>
    <t>Tỷ lệ để lại tổ chức thu phí  đề nghị  thay thế (%)</t>
  </si>
  <si>
    <t>Tổng lương 
và các khoản 
phụ cấp năm 2025</t>
  </si>
  <si>
    <t>Trà sen Kiếp Bạc (300kg)</t>
  </si>
  <si>
    <t>Tiền vệ sinh môi trường: 12 tháng</t>
  </si>
  <si>
    <t>Chi từ nguồn két công đức</t>
  </si>
  <si>
    <t>Chi từ nguồn dịch vụ</t>
  </si>
  <si>
    <t>1=2+3+4</t>
  </si>
  <si>
    <t>Chi cước điện thoại, cước bưu chính, cước duy trì trang website, báo,…</t>
  </si>
  <si>
    <t>Chi thanh toán cho cá nhân  thực hiện công việc, dịch vụ và thu phí  (143 người)</t>
  </si>
  <si>
    <t>Chi đặt ăn tiếp các đoàn khách về làm việc, công đức tại di tích</t>
  </si>
  <si>
    <t>Chi bảo dưỡng hệ thống camera, báo động,… tại các di tích và cổng vé</t>
  </si>
  <si>
    <t>Chi in băng rôn chào mừng ngày lễ, sự kiện của đất nước tại các khu vực</t>
  </si>
  <si>
    <t>Mua chổi quét dọn vệ sinh môi trường tại 14 điểm di tích</t>
  </si>
  <si>
    <t>Chi phí dịch thuật, biên dịch tài liệu sang Tiếng Anh phục vụ nghiên cứu, tuyên truyền, biển bảng khách quốc tế</t>
  </si>
  <si>
    <t>Hợp đồng 111 thực hiện các hoạt động dịch vụ trông giữ xe, bán hàng: 16 người x 60.000đ/cái x 2 cái</t>
  </si>
  <si>
    <t>Đồng phục trông giữ xe tại các di tích: 10 người x 1.000.000đ/bộ</t>
  </si>
  <si>
    <t>Đồng phục ghi công đức tại các di tích: 15 người x 1.000.000đ/bộ</t>
  </si>
  <si>
    <t>Đồng phục vụ sinh môi trường tại các di tích: 18 người x 500.000đ/bộ x 2 bộ/người</t>
  </si>
  <si>
    <t>Chữ nổi Xuân 2025 đèn LED bao quanh</t>
  </si>
  <si>
    <t>Bảng gỗ chữ "Xuân 2025" + hoa trang trí</t>
  </si>
  <si>
    <t>Mua sắm vật tư y tế, phòng dịch tại 14 đểm di tích</t>
  </si>
  <si>
    <t>Mua bổ sung các vật dụng PCCC tại 14 điểm di tích</t>
  </si>
  <si>
    <t>Mua sắm tài liệu, sách chuyên ngành phục vụ công tác nghiên cứu, phát triển di tích</t>
  </si>
  <si>
    <t>Chi từ nguồn thu két công đức</t>
  </si>
  <si>
    <t>Tiền lương, tiền công chi từ nguồn két công đức</t>
  </si>
  <si>
    <t>Tiền lương, tiền công chi từ nguồn dịch vụ</t>
  </si>
  <si>
    <t>Dự toán thu đầu năm 2026</t>
  </si>
  <si>
    <t>Trong đó: Tỷ lệ sau điều chỉnh</t>
  </si>
  <si>
    <t>Số được để lại chi thường xuyên</t>
  </si>
  <si>
    <t>Số để lại chi lễ hội, đặc thù</t>
  </si>
  <si>
    <t>Số chi trả nhà chùa Côn Sơn</t>
  </si>
  <si>
    <t>Để lại đơn vị thu 100%</t>
  </si>
  <si>
    <t>Chi thường xuyên 11%, chi lễ hội 33%, chi đặc thù 6%, chi trả nhà chùa 50%</t>
  </si>
  <si>
    <t>DỰ TOÁN CHI THƯỜNG XUYÊN TẠI BAN QLDT CÔN SƠN - KIẾP BẠC NĂM 2026</t>
  </si>
  <si>
    <t xml:space="preserve">Tổng dự toán chi  </t>
  </si>
  <si>
    <t>Ghi chú (tỷ lệ để lại được điều chỉnh)</t>
  </si>
  <si>
    <t>Viên chức, hợp đồng 111 thực hiện quản lý, điều hành, phục vụ hoạt động thu phí, bán soát vé và liên quan đến các hoạt động thu phí: 62 người x 60.000đ/cái x 2 cái</t>
  </si>
  <si>
    <t>Viên chức, hợp đồng 111 thực hiện quản lý, điều hành, phục vụ hoạt động trong nội tự di tích, ghi nhận công đức, vàng hương: 43 người x 60.000đ/cái x 2 cái</t>
  </si>
  <si>
    <t>Làm thẻ nhân viên: 121 người x 60.000đ/cái x 2 cái</t>
  </si>
  <si>
    <t>Chi cước điện thoại, cước bưu chính, cước duy trì trang website, báo * 12 tháng</t>
  </si>
  <si>
    <t>Trong đó:</t>
  </si>
  <si>
    <t xml:space="preserve">Tổng dự toán </t>
  </si>
  <si>
    <t>Để lại đơn vị thu 60%, nộp NSNN 40%</t>
  </si>
  <si>
    <t>Cúc mâm xôi vàng</t>
  </si>
  <si>
    <t>Hoa trang nguyên đỏ</t>
  </si>
  <si>
    <t>Bổ sung cờ tại các điểm di tích</t>
  </si>
  <si>
    <t>Hoa dạ yến thảo màu hồng tạo hình cánh sen</t>
  </si>
  <si>
    <t>Hoa cúc mâm xôi vàng nhụy sen</t>
  </si>
  <si>
    <t>Cúc ngũ sắc trồng nền ngoài</t>
  </si>
  <si>
    <t>VI</t>
  </si>
  <si>
    <t>Sửa chữa bãi xe phía Đông và phí Tây khu di tích Côn Sơn</t>
  </si>
  <si>
    <t>Pin loa cầm tay điều hành tại cổng vé</t>
  </si>
  <si>
    <t>Bánh đậu xanh Côn Sơn (6000 hộp)</t>
  </si>
  <si>
    <t>Phí dịch vụ 5% của VETC - trạm không dừng</t>
  </si>
  <si>
    <t>Mua hóa đơn điện tử bán vé xe</t>
  </si>
  <si>
    <t>Chi các hội nghị tổ chức tại di tích phát triển du lịch các di sản thế giới và các di tích quốc gia đặc biệt phía tây Hải Phòng (tài liệu, nước uống,loa đài...)</t>
  </si>
  <si>
    <t>Chi in băng rôn, biển khu vực tiếp khách chào mừng ngày lễ, sự kiện của đất nước tại các khu vực</t>
  </si>
  <si>
    <t>Cờ thần</t>
  </si>
  <si>
    <t>Cờ hồng kỳ</t>
  </si>
  <si>
    <t>Dóc cắm cờ</t>
  </si>
  <si>
    <t>Biển tuyên truyền và biển cấm tại suối Côn Sơn và cầu Thấu Ngọc</t>
  </si>
  <si>
    <t>Mua laptop phục vụ công tác trình chiếu, báo cáo chuyên đề tại các buổi tọa nghiên cứu phát triển du lịch : 15.000.000đ/ cái x 2 cái</t>
  </si>
  <si>
    <t>Đèn lồng Hội An thêu hoa đào, hoa mai, KT 0,4m*0,6m trang trí nhà bia trong (2 tầng), 2 nhà bia ngoài</t>
  </si>
  <si>
    <t>Chi phí chăm sóc, cắt tỉa cây cảnh</t>
  </si>
  <si>
    <t>Mua giấy in nhiệt vé điện tử: 10.000 cuộn x 6.000đ</t>
  </si>
  <si>
    <t>Mua ô vải dù xanh phục vụ bán soát vé: 6 cái x 1 triệu đồng</t>
  </si>
  <si>
    <t>Chi mua tài sản phụ vụ công việc tại đơn vị</t>
  </si>
  <si>
    <t>Hoa cúc mâm xôi vàng xếp 2/9</t>
  </si>
  <si>
    <t>Hoa dạ yến thảo xếp viền chữ</t>
  </si>
  <si>
    <t>Trang trí cảnh quan tại di sản thế giới chùa Côn Sơn - xếp chữ Việt Nam chào mừng ngày Quốc Khánh 2/9</t>
  </si>
  <si>
    <t>Dạ yến thảo vàng xếp chữ</t>
  </si>
  <si>
    <t>Cúc lá nhám viền</t>
  </si>
  <si>
    <t>Phân bón hữu cơ + đất bổ sung + công chăm bón</t>
  </si>
  <si>
    <t>Cây chuỗi ngọc trang trí</t>
  </si>
  <si>
    <t>Chi phí truyền thông, quảng bá di tích</t>
  </si>
  <si>
    <t>Thiết kế, in ấn tờ rơi giới thiệu, quảng bá và sơ đồ khu di tích</t>
  </si>
  <si>
    <t>Vật tư, dụng cụ văn phòng phẩm (giấy in, túi tài liệu, …)</t>
  </si>
  <si>
    <t>Sửa quầy vé khu vực động Kính Chủ do bão gây hư hỏng</t>
  </si>
  <si>
    <t>Sửa chữa phòng đón tiếp khách, phòng làm việc văn Miếu Mao Điền</t>
  </si>
  <si>
    <t>Sửa chữa phòng đón tiếp khách chùa Thanh Mai</t>
  </si>
  <si>
    <t>Nâng cấp, sửa chữa nhà điều hành bán soát vé cổng Tây, khu di tích Côn Sơn</t>
  </si>
  <si>
    <t>Sửa chữa điện tại khu di tích Kinh Môn</t>
  </si>
  <si>
    <t>Sửa chữa điện tại nhà khách, nhà làm việc Văn Miếu Mao Điền</t>
  </si>
  <si>
    <t>In sổ ghi nhận công đức và giấy ghi nhận công đức tại các di tích</t>
  </si>
  <si>
    <t>Cây quất chậu lớn đặt ở 2 nhà khách</t>
  </si>
  <si>
    <t>Hoa đào chậu lớn đặt 2 bên đền, chùa</t>
  </si>
  <si>
    <t xml:space="preserve">Đèn lồng trang trí sân đền </t>
  </si>
  <si>
    <t>Trang trí cảnh quan tại đền Kiếp Bạc (trang trí hoa tạo hình chữ Kiếp Bạc tại cổng đền Kiếp Bạc)</t>
  </si>
  <si>
    <t>Trang trí cảnh quan tại chùa Côn Sơn - Cổng sắt checkin Tết 2025</t>
  </si>
  <si>
    <t>Hoa trạng nguyên</t>
  </si>
  <si>
    <t>Đèn lồng dáng tròn, na, ú, tỏi KT 50 cm trang trí Cây đại trước cửa tiền đường</t>
  </si>
  <si>
    <t>Khung tre nứa trang trí (3m*4m)</t>
  </si>
  <si>
    <t>Cờ dây phật (trang trí Lầu Chuông, Tiền Đường, Cửu Phẩm, Nhà Tổ, Hậu Tổ, Lầu Phật Bà)</t>
  </si>
  <si>
    <t>Rổ, rá, nong, nia tre + chung nước, tiểu cảnh tre trang trí tiểu cảnh</t>
  </si>
  <si>
    <t>Trang trí cảnh quan tại đền Kiếp Bạc (trang trí hoa tạo hình hoa sen chào mừng ngày 30/4 và 1/5)</t>
  </si>
  <si>
    <t>Trang trí cảnh quan tại chùa Côn Sơn - Cờ đỏ sao vàng chào mừng ngày 30/4 và 1/5</t>
  </si>
  <si>
    <t>Cờ Tổ quốc, cờ dây</t>
  </si>
  <si>
    <t>Mua sắm tài liệu, sách chuyên ngành phục vụ công tác nghiên cứu, phát triển di tích, du lịch</t>
  </si>
  <si>
    <t>Biển các phòng làm việc tại Cẩm Giàng, Kinh Môn do thay đổi tên đơn vị. mếch dán đề can (KT:50 cm x 20 cm), 20 cái</t>
  </si>
  <si>
    <t>Biểu số 04</t>
  </si>
  <si>
    <t>Kiếp Bạc, Nguyễn Trãi, Trần Nguyên Đán, chùa Thanh Mai</t>
  </si>
  <si>
    <t>Chi mua sắm phục vụ bán soát vé phương tiện VETC - thu phí tự dộng</t>
  </si>
  <si>
    <t>Chi mua tài sản phục vụ công việc thường xuyên tại đơn vị</t>
  </si>
  <si>
    <t>In sổ ghi nhận công đức, giấy ghi nhận công đức tại các di tích</t>
  </si>
  <si>
    <t>Thuê lao động tăng cường ghi nhận công đức tại các di tích: 20 người x 7.000.000đ x 2 tháng</t>
  </si>
  <si>
    <t>Thuê lao động tăng cường trông giữ xe, bán hàng tại các di tích: 15 người x 7.000.000đ x 2 tháng</t>
  </si>
  <si>
    <t>Tủ chống ẩm bảo quản máy ảnh, chân máy quay, đầu đọc thẻ nhớ…</t>
  </si>
  <si>
    <t>Đồng phục vụ sinh môi trường tại các di tích: 34 người x 500.000đ/bộ x 2 bộ</t>
  </si>
  <si>
    <t>Chi phí chào hàng với các đại lý</t>
  </si>
  <si>
    <t>Tỷ lệ để lại tổ chức thu phí đang thực hiện (%)</t>
  </si>
  <si>
    <t>Giữ nguyên</t>
  </si>
  <si>
    <t>Đề nghị thay đổi</t>
  </si>
  <si>
    <t>Dự kiến thu năm 2025</t>
  </si>
  <si>
    <t>Dự kiến thu năm 2026 (sau khi được điều chỉnh )</t>
  </si>
  <si>
    <t xml:space="preserve">Dự toán chi năm 2025 </t>
  </si>
  <si>
    <t>Thực hiện</t>
  </si>
  <si>
    <t>Ước thực hiện 2025</t>
  </si>
  <si>
    <t>Mức trích thu để lại đang áp dụng (%)</t>
  </si>
  <si>
    <t>Năm 2021</t>
  </si>
  <si>
    <t>Nộp NS</t>
  </si>
  <si>
    <t>Phí tham quan danh lam thắng cảnh Quốc gia Đảo Hòn Dấu</t>
  </si>
  <si>
    <t>Chi thường xuyên phục vụ cho công việc và mua sắm vật tư</t>
  </si>
  <si>
    <t>Chi mua sắm, sửa chữa thường xuyên phục vụ công tác chuyên môn</t>
  </si>
  <si>
    <t>Chi tu bổ, đảm bảo vệ sinh môi trường</t>
  </si>
  <si>
    <t>Đơn vị tính: đồng</t>
  </si>
  <si>
    <t>Diễn giải nội dung</t>
  </si>
  <si>
    <t>Phần chi từ số trích thu để lại đơn vị (100%)=(I+II)</t>
  </si>
  <si>
    <t>Chi tiền lương, các khoản phụ cấp và trích nộp theo lương</t>
  </si>
  <si>
    <t xml:space="preserve"> -</t>
  </si>
  <si>
    <t xml:space="preserve">Tiền lương cho con người </t>
  </si>
  <si>
    <t xml:space="preserve">Các khoản phụ cấp lương </t>
  </si>
  <si>
    <t>Các khoản trích nộp theo lương 23,5% (BHXH: 17%, YT: 3,5%, TN: 1%, KPCĐ: 2%)</t>
  </si>
  <si>
    <t>Chi phí nghiệp vụ chuyên môn</t>
  </si>
  <si>
    <t>Thanh toán dịch vụ công cộng</t>
  </si>
  <si>
    <t>-</t>
  </si>
  <si>
    <t>Chi tiền điện thắp sáng</t>
  </si>
  <si>
    <t>.</t>
  </si>
  <si>
    <t>Chi tiền nước sinh hoạt</t>
  </si>
  <si>
    <t>Thanh toán tiền vệ sinh, môi trường</t>
  </si>
  <si>
    <t>Chi thanh toán tiền điện thoại</t>
  </si>
  <si>
    <t>Chi mua vật tư văn phòng</t>
  </si>
  <si>
    <t>Giấy in A4: 10 gram x 12 tháng x 80.000đ/gram</t>
  </si>
  <si>
    <t>Vật tư, dụng cụ văn phòng phẩm (mực dấu, bút xoá, ghim, cặp cúc…)</t>
  </si>
  <si>
    <t>Chi đổ mực máy in: 12 tháng x 1.000.000đ/tháng</t>
  </si>
  <si>
    <t>Chi phí thuê mướn</t>
  </si>
  <si>
    <t>Thanh toán tiền vận chuyển xử lý rác thải</t>
  </si>
  <si>
    <t>Biển bảng tuyền truyền, biển chỉ dẫn</t>
  </si>
  <si>
    <t>Dịch vụ in vé điện tử tham quan danh lam thắng cảnh Quốc gia Đảo Hòn Dấu</t>
  </si>
  <si>
    <t>Thay mới camera tại quầy bán vé: (03 mắt x 3.500.000)</t>
  </si>
  <si>
    <t>Mua máy in nhiệt in vé: (02 máy x 3.500.000đ/máy)</t>
  </si>
  <si>
    <t>Chi mua hàng hoá, vật tư dùng cho chuyên môn</t>
  </si>
  <si>
    <t xml:space="preserve">Chi tuyên truyền quảng bá </t>
  </si>
  <si>
    <t>Chi sửa chữa, bảo dưỡng thường xuyên TSCĐ phục vụ công tác chuyên môn</t>
  </si>
  <si>
    <t>Biểu 11: Dự toán cả năm về phí thu được các điểm tham quan Vườn Quốc gia Cát Bà.</t>
  </si>
  <si>
    <t>Stt</t>
  </si>
  <si>
    <t>Điểm tham quan</t>
  </si>
  <si>
    <t>Mức thu</t>
  </si>
  <si>
    <t>Thực tế thu</t>
  </si>
  <si>
    <t>Dự toán thu năm 2025</t>
  </si>
  <si>
    <t>Trẻ em từ 6 tuổi trở lên hoặc có chiều cao từ 1,2m trở lên</t>
  </si>
  <si>
    <t>Người lớn</t>
  </si>
  <si>
    <t>Thăm quan Vườn Quốc gia Cát Bà</t>
  </si>
  <si>
    <t>Tuyến trung tâm Vườn - đỉnh Kim Giao - đỉnh Ngự Lâm - động Trung Trang</t>
  </si>
  <si>
    <t>Tuyến đồng Ninh Tiếp – hang Tiền Đức</t>
  </si>
  <si>
    <t>Tuyến Phù Long – Rừng Ngập Mặn - động Thiên Long</t>
  </si>
  <si>
    <t>Chưa thu</t>
  </si>
  <si>
    <t>Tổng</t>
  </si>
  <si>
    <t>Biểu 12: Dự toán cả năm về chi phí cần thiết cho các hoạt động về thu phí và bổ sung chi thường xuyên Vườn Quốc gia Cát Bà</t>
  </si>
  <si>
    <t>(Theo QĐ số 2138/QĐ-UBND ngày ngày 05/7/2022 của Ủy ban nhân dân thành phố)</t>
  </si>
  <si>
    <t xml:space="preserve">Khoản mục </t>
  </si>
  <si>
    <t>Thực tế đã chi</t>
  </si>
  <si>
    <t xml:space="preserve">Dự toán </t>
  </si>
  <si>
    <t xml:space="preserve">Mức thu được để lại đang áp dụng </t>
  </si>
  <si>
    <t>chi phí</t>
  </si>
  <si>
    <t>chi năm 2025</t>
  </si>
  <si>
    <t xml:space="preserve">Thanh toán cá nhân </t>
  </si>
  <si>
    <t>Bổ sung kinh phí chi thường xuyên của Vườn và chi phí phục vụ công tác thu phí thăm quan</t>
  </si>
  <si>
    <t>Kinh phí cắt giảm, tiết kiệm</t>
  </si>
  <si>
    <t>Nộp NSNN</t>
  </si>
  <si>
    <t>Trích Nguồn cải cách tiền lương</t>
  </si>
  <si>
    <t>Trích lập các quỹ</t>
  </si>
  <si>
    <t>Biểu 13: Tổng hợp dự toán thu chi các điểm tham quan Vườn Quốc gia Cát Bà.</t>
  </si>
  <si>
    <t>Tổng thu</t>
  </si>
  <si>
    <t>Tổng chi (phần để lại)</t>
  </si>
  <si>
    <t>Nộp ngân sách</t>
  </si>
  <si>
    <t>Tiền</t>
  </si>
  <si>
    <t>%</t>
  </si>
  <si>
    <t>Tuyến Phù Long - Rừng Ngập Mặn - động Thiên Long</t>
  </si>
  <si>
    <t>So sánh với mức thu khu vực lân cận (Quảng Ninh)</t>
  </si>
  <si>
    <t>Đang thực hiện</t>
  </si>
  <si>
    <t>(NQ 06/2024/NQ-HĐND ngày 19/07/2024)</t>
  </si>
  <si>
    <t>Mức thu hiện nay</t>
  </si>
  <si>
    <t>So sánh</t>
  </si>
  <si>
    <t>Tham quan tuyến các vịnh trên quần đảo Cát Bà</t>
  </si>
  <si>
    <t>150.000-250.000</t>
  </si>
  <si>
    <t>80%-48%</t>
  </si>
  <si>
    <t>Đối với các trường hợp Tham quan các tuyến du lịch mà có hoạt động lưu trú qua đêm trên các vịnh thuộc quần đảo Cát Bà thì mức thu phí Tham quan được quy định cụ thể như sau:</t>
  </si>
  <si>
    <t>2.1</t>
  </si>
  <si>
    <t>Tham quan tuyến các vịnh thuộc quần đảo Cát Bà và lưu trú 01 đêm</t>
  </si>
  <si>
    <t>500.000-550.000</t>
  </si>
  <si>
    <t>80%-73%</t>
  </si>
  <si>
    <t>2.2</t>
  </si>
  <si>
    <t>Tham quan tuyến các vịnh thuộc quần đảo Cát Bà và lưu trú 02 đêm</t>
  </si>
  <si>
    <t>650.000-750.000</t>
  </si>
  <si>
    <t>92%-80%</t>
  </si>
  <si>
    <t>2.3</t>
  </si>
  <si>
    <t>Tham quan tuyến các vịnh thuộc quần đảo Cát Bà và lưu trú 03 đêm</t>
  </si>
  <si>
    <t>Tham quan động Hoa Cương</t>
  </si>
  <si>
    <t>Đơn vị: Nghìn đồng</t>
  </si>
  <si>
    <t>Tổ chức thu phí</t>
  </si>
  <si>
    <t>Mức thu hiện tại</t>
  </si>
  <si>
    <t>Dự kiến thu 
cả Năm 2025</t>
  </si>
  <si>
    <t>Dự kiến thu Năm 2026 (sau khi được điều chỉnh đơn vị thu)</t>
  </si>
  <si>
    <t>6tháng 2025</t>
  </si>
  <si>
    <t>Tham quan tuyến các vịnh thuộc quần đảo Cát Bà</t>
  </si>
  <si>
    <t>Ban quản lý các vịnh thuộc quần đảo Cát Bà</t>
  </si>
  <si>
    <t>Trẻ em</t>
  </si>
  <si>
    <t>Vé người lớn giảm 50%</t>
  </si>
  <si>
    <t>Đối với các trường hợp tham quan các tuyến du lịch mà có hoạt động lưu trú qua đêm trên các vịnh thuộc quần đảo Cát Bà thì mức thu phí Tham quan được quy định cụ thể như sau:</t>
  </si>
  <si>
    <t>Ngày</t>
  </si>
  <si>
    <t>TQ vịnh</t>
  </si>
  <si>
    <t>TQ vịnh giảm</t>
  </si>
  <si>
    <t>TQ lưu trú 01</t>
  </si>
  <si>
    <t>TQ lưu trú 02</t>
  </si>
  <si>
    <t>TQ lưu trú 03</t>
  </si>
  <si>
    <t>NL</t>
  </si>
  <si>
    <t>Thành tiền (120.000Đ/VÉ)</t>
  </si>
  <si>
    <t>TE</t>
  </si>
  <si>
    <t>Thành tiền (60.000Đ/VÉ)</t>
  </si>
  <si>
    <t>Thành tiền (400.000Đ/VÉ)</t>
  </si>
  <si>
    <t>Thành tiền (300.000Đ/VÉ)</t>
  </si>
  <si>
    <t>Vé giảm</t>
  </si>
  <si>
    <t>Thành tiền (200.000Đ/VÉ)</t>
  </si>
  <si>
    <t>Thành tiền (600.000Đ/VÉ)</t>
  </si>
  <si>
    <t>Thành tiền (500.000Đ/VÉ)</t>
  </si>
  <si>
    <t>Thành tiền (650.000Đ/VÉ)</t>
  </si>
  <si>
    <t>Thành tiền (550.000Đ/VÉ)</t>
  </si>
  <si>
    <t>TQ</t>
  </si>
  <si>
    <t>LT</t>
  </si>
  <si>
    <t>Tháng 1</t>
  </si>
  <si>
    <t>Tháng 2</t>
  </si>
  <si>
    <t>Tháng 3</t>
  </si>
  <si>
    <t>QUÝ 1</t>
  </si>
  <si>
    <t>Tháng 4</t>
  </si>
  <si>
    <t>Tháng 5</t>
  </si>
  <si>
    <t>Tháng 6</t>
  </si>
  <si>
    <t>QUÝ 2</t>
  </si>
  <si>
    <t>Tháng 7</t>
  </si>
  <si>
    <t>Tháng 8</t>
  </si>
  <si>
    <t>Tháng 9</t>
  </si>
  <si>
    <t>QUÝ 3</t>
  </si>
  <si>
    <t>Tháng 10</t>
  </si>
  <si>
    <t>Tháng 11</t>
  </si>
  <si>
    <t>Tháng 12</t>
  </si>
  <si>
    <t>QUÝ 4</t>
  </si>
  <si>
    <t>Năm 2025</t>
  </si>
  <si>
    <t>Số vé TQ</t>
  </si>
  <si>
    <t>Số vé LT</t>
  </si>
  <si>
    <t>Biểu số 14</t>
  </si>
  <si>
    <t>Biểu số 15</t>
  </si>
  <si>
    <t>Thành tiền (30.000Đ/VÉ)</t>
  </si>
  <si>
    <t>Thành tiền (15.000Đ/VÉ)</t>
  </si>
  <si>
    <t>Biểu số 15.1</t>
  </si>
  <si>
    <t>Biểu số 15.2</t>
  </si>
  <si>
    <t>Đơn vị tính: Nghìn Đồng</t>
  </si>
  <si>
    <t>Dự toán chi năm 2025</t>
  </si>
  <si>
    <t>Dự toán chi năm 2026</t>
  </si>
  <si>
    <t>Mức thu được để lại đề nghị  phê duyệt (%)</t>
  </si>
  <si>
    <t>6T Năm 2025</t>
  </si>
  <si>
    <t>Để lại    đơn vị</t>
  </si>
  <si>
    <t xml:space="preserve">Nộp NS </t>
  </si>
  <si>
    <t>Phí tham quan danh lam thắng cảnh trên các vịnh Thuộc Quần đảo Cát Bà</t>
  </si>
  <si>
    <t>Chi cho con người( Không bao gồm chi tăng thu nhập)</t>
  </si>
  <si>
    <t>Chi CCTL, ổn định/tăng thu nhập</t>
  </si>
  <si>
    <t>Chi thường xuyên phục vụ cho việc thực hiện công việc và mua sắm vật tư, nguyên liệu liên quan</t>
  </si>
  <si>
    <t>Chi mua sắm, sửa chữa lớn TSCĐ phục vụ công tác chuyên môn</t>
  </si>
  <si>
    <t>Chi truyền thông di sản</t>
  </si>
  <si>
    <t>Biểu số 16</t>
  </si>
  <si>
    <t>THUYẾT MINH CHI TỪ NGUỒN THU PHÍ THAM QUAN NĂM 2026</t>
  </si>
  <si>
    <t>Mục lục ngân sách</t>
  </si>
  <si>
    <t>Thành Tiền</t>
  </si>
  <si>
    <t>Phần chi từ số trích thu để lại đơn vị ( 21%) ( I + II + III+IV)</t>
  </si>
  <si>
    <t>Chi lương và các khoản phụ cấp, làm thêm giờ….</t>
  </si>
  <si>
    <t>Chi lương và các khoản phụ cấp, làm thêm giờ bổ sung theo đề án vị trí việc làm</t>
  </si>
  <si>
    <t>Chi cải cách tiền lương, ổn định tăng thu nhập</t>
  </si>
  <si>
    <t>Chi thường xuyên khác</t>
  </si>
  <si>
    <r>
      <t xml:space="preserve">Chi tiền điện mùa hè: </t>
    </r>
    <r>
      <rPr>
        <i/>
        <sz val="14"/>
        <color theme="1"/>
        <rFont val="Times New Roman"/>
        <family val="1"/>
      </rPr>
      <t>5 tháng x 60.000.000đ/tháng = 300.000.000</t>
    </r>
  </si>
  <si>
    <t>chi tiền điện mùa đông: 7 tháng x 35.000.000đ/tháng = 245.000.000</t>
  </si>
  <si>
    <r>
      <t xml:space="preserve">Chi tiền chè khô : </t>
    </r>
    <r>
      <rPr>
        <i/>
        <sz val="14"/>
        <color theme="1"/>
        <rFont val="Times New Roman"/>
        <family val="1"/>
      </rPr>
      <t xml:space="preserve">12 tháng x 800.000đ/tháng = </t>
    </r>
  </si>
  <si>
    <r>
      <t xml:space="preserve">Chi tiền nước sinh hoạt mùa hè: </t>
    </r>
    <r>
      <rPr>
        <i/>
        <sz val="14"/>
        <color theme="1"/>
        <rFont val="Times New Roman"/>
        <family val="1"/>
      </rPr>
      <t>5 tháng x 10.000.000đ/tháng = 50.000.000</t>
    </r>
  </si>
  <si>
    <t>chi tiền nước sinh hoạt mùa đông: 7 tháng x 7.000.000đ/tháng = 49.000.000</t>
  </si>
  <si>
    <t>Chi tiền nhiên liệu phục vụ công tác kiểm tra, bán vé tham quan vịnh và quản lý hoạt động trên các vịnh</t>
  </si>
  <si>
    <t>Xuồng cao tốc 200 CV phục vụ lưu trú nghỉ đêm trên các vịnh và công tác kiểm tra quản lý các hoạt động trên vịnh</t>
  </si>
  <si>
    <t>60 lít/giờ x 6 giờ/ngày x 20 ngày x 12 tháng x 20.800 đ/lít x 1 chiếc =</t>
  </si>
  <si>
    <t>Xuồng cao tốc 2 máy 150 CV phục vụ công tác kiểm tra quản lý các hoạt động trên vịnh</t>
  </si>
  <si>
    <t>85,5 lít/giờ x 6 giờ/ngày x 20 ngày x 6 tháng x 20.800 đ/lít x 1 chiếc =</t>
  </si>
  <si>
    <t>Xuồng cao tốc 1 máy 150 CV phục vụ công tác kiểm tra, xử lý quản lý các hoạt động trên vịnh</t>
  </si>
  <si>
    <t>42,75 lít/giờ x 6 giờ/ngày x 20 ngày x 6 tháng x 20.800 đ/lít x 1 chiếc =</t>
  </si>
  <si>
    <t xml:space="preserve">Nhiên liệu chi cho 2 tender máy 105 CV </t>
  </si>
  <si>
    <t xml:space="preserve">2 chiếc x 15 lít/giờ x 7 giờ/ngày x 12 tháng x 26 ngày x 18.470 đ/lít = </t>
  </si>
  <si>
    <t>Chi mua văn phòng phẩm, vật tư, dụng cụ</t>
  </si>
  <si>
    <t>Giấy in A4: 20 gram/tháng x 12 tháng x 85.000đ/gram=</t>
  </si>
  <si>
    <t>Vật tư, dụng cụ văn phòng phẩm( mực dấu, bút xóa, ghim, cặp cúc….)</t>
  </si>
  <si>
    <t>Chi đổ mực máy in, máy photo: 12 tháng x 1.800.000đ/tháng =</t>
  </si>
  <si>
    <t>Tiền cước phí điện thoại + Internet</t>
  </si>
  <si>
    <t>Tiền điện thoại: 2 máy x 200.000đ/máy/tháng x 12 tháng =</t>
  </si>
  <si>
    <t>Tiền internet trạm bến bèo phục vụ camera: 400.000đ/tháng x 12 tháng =</t>
  </si>
  <si>
    <t>Tiền internet tại cơ quan trọn gói 12 tháng</t>
  </si>
  <si>
    <t>Tiền Internet tại nhà chờ Bến Gia Luận phục vụ camera trọn gói 12 tháng</t>
  </si>
  <si>
    <t>Tiền Internet tại động Hoa cương phục vụ camera trọn gói 12 tháng</t>
  </si>
  <si>
    <t>Mua sách báo, tài liệu</t>
  </si>
  <si>
    <t>Chi khoán công tác phí và khoán tiền công tác phí</t>
  </si>
  <si>
    <t>8.1</t>
  </si>
  <si>
    <t>Chi công tác phí</t>
  </si>
  <si>
    <t>8.2</t>
  </si>
  <si>
    <t>Chi khoán công tác phí</t>
  </si>
  <si>
    <t xml:space="preserve">Ban Giám đốc: 03 người x 500.000đ/tháng x 12 tháng = </t>
  </si>
  <si>
    <t>Các tổ trường</t>
  </si>
  <si>
    <t xml:space="preserve">5 người x 400.000đ/người x 12 tháng = </t>
  </si>
  <si>
    <t>Các đồng chí tổ phó, các đồng chí phụ trách, các tổ trạm làm xa</t>
  </si>
  <si>
    <t xml:space="preserve">42 người x 300.000đ/người x 12 tháng = </t>
  </si>
  <si>
    <t>Chi cho tổ giám sát nội bộ: 10 người x 300.000đ/người x 12 tháng =</t>
  </si>
  <si>
    <t>8.3</t>
  </si>
  <si>
    <t>Chi khoán tiền điện thoại hàng tháng:</t>
  </si>
  <si>
    <t xml:space="preserve">Phó giám đốc: 3 người x 300.000đ/tháng x 12 tháng = </t>
  </si>
  <si>
    <t>Tổ trưởng các tổ: 5 người x 250.000đ/tháng x 12 tháng =</t>
  </si>
  <si>
    <t>Tổ phó, phụ trách các bến: 11 người x 200.000đ/tháng x 12 tháng =</t>
  </si>
  <si>
    <t>Chi hỗ trợ tiền ăn cho các nhân viên làm dưới nước</t>
  </si>
  <si>
    <t>35 người x 25.000đ/người/ngày x 26 ngày x 12 tháng =</t>
  </si>
  <si>
    <t>Chi hỗ trợ tiền cho các nhân viên trực đêm lưu trú nghỉ đêm</t>
  </si>
  <si>
    <t xml:space="preserve">7 người x 100.000đ/người/ngày x 250 ngày = </t>
  </si>
  <si>
    <t>Chi hỗ trợ tiền cho các nhân viên trực đêm tại các phương tiện</t>
  </si>
  <si>
    <t xml:space="preserve">14 người x 50.000đ/người/ngày x 250 ngày = </t>
  </si>
  <si>
    <t xml:space="preserve">Chi hỗ trợ tiền nước uống </t>
  </si>
  <si>
    <t>63 người x 200.000đ/người/tháng x 12 tháng =</t>
  </si>
  <si>
    <t>Chi hỗ trợ cải thiện điều kiện làm việc</t>
  </si>
  <si>
    <t>21 người x 150.000đ/người/tháng x 12 tháng =</t>
  </si>
  <si>
    <t>Chi bồi dưỡng trực phòng chống thiên tai, bão lũ…</t>
  </si>
  <si>
    <t>21 người x 100.000đ/người/lần x 5 lần</t>
  </si>
  <si>
    <t>Chi bồi dưỡng tìm kiếm cứu nạn, phòng cháy và tràn dầu</t>
  </si>
  <si>
    <t>7 người x 100.000đ/người/lần x 5 lần</t>
  </si>
  <si>
    <t>Chi khám sức khỏe định kì cho cán bộ người lao động</t>
  </si>
  <si>
    <t>78 người x 3.000.000đ/lần =</t>
  </si>
  <si>
    <t>Thanh toán tiền vận chuyển xử lý rác thải công ty QLCTCC&amp;DV đô thị</t>
  </si>
  <si>
    <t>Chi sửa chữa, bảo dưỡng định kì, thường xuyên</t>
  </si>
  <si>
    <t>10.1</t>
  </si>
  <si>
    <t>Sửa chữa bảo dưỡng xuồng cao tốc định kì bao gồm cả đăng kiểm</t>
  </si>
  <si>
    <t>Xuồng cao tốc 200 CV: 150.000.000/lần x 1 lần/năm x 1 chiếc =</t>
  </si>
  <si>
    <t>Sửa chữa bảo dưỡng xuồng cao tốc thường xuyên</t>
  </si>
  <si>
    <t>Xuồng cao tốc 200 CV: 90.000.000/lần x 1 lần/năm x 1 chiếc =</t>
  </si>
  <si>
    <t xml:space="preserve">Thay thế sửa chữa nhỏ xuồng cao tốc </t>
  </si>
  <si>
    <t>10.2</t>
  </si>
  <si>
    <t>Sửa chữa, thay thế thiết bị tin học văn Phòng</t>
  </si>
  <si>
    <t>10.3</t>
  </si>
  <si>
    <t>Chi phí bảo dưỡng tender kiểm tra xử lý trên vịnh</t>
  </si>
  <si>
    <t>Chi phí bảo dưỡng vỏ tàu và máy tàu và đăng kiểm tender :  1 lần/năm x 199.000.000đ/lần x 2 chiếc =</t>
  </si>
  <si>
    <t>Chi phí bảo dưỡng lên đà định kỳ 6 tháng 1 lần:  lần/năm x 99.000.000đ/lần x 2 chiếc =</t>
  </si>
  <si>
    <t>Thay thế sửa chữa nhỏ 2 tender: 100.000.000đ/tàu/năm x 2 tàu =</t>
  </si>
  <si>
    <t>10.4</t>
  </si>
  <si>
    <t>Chi phí bảo dưỡng, lên đà vệ sinh môi trường khu vực Gia Luận - Trà Báu</t>
  </si>
  <si>
    <t>1 tầu x 99.000.000đ/tàu/kỳ x 2 kỳ/năm =</t>
  </si>
  <si>
    <t>10.5</t>
  </si>
  <si>
    <t>Chi phí bảo dưỡng, lên đà vệ sinh môi trường mới đóng</t>
  </si>
  <si>
    <t>2 tầu x 70.000.000đ/tàu/kỳ x 1 kỳ/năm =</t>
  </si>
  <si>
    <t>Chi hoạt động chuyên môn</t>
  </si>
  <si>
    <t>11.1</t>
  </si>
  <si>
    <t>Mua quần áo đồng phục, bảo hộ lao động</t>
  </si>
  <si>
    <t>Quần áo bảo hộ mùa hè: 65 người x 2 bộ/1năm x 1.500.000đ/bộ =</t>
  </si>
  <si>
    <t>Áo cơ quan: 78 người x 1 bộ/1 năm x 800.000đ/chiếc =</t>
  </si>
  <si>
    <t xml:space="preserve">Giày: 65 đôi x 300.000đ/đôi x 2 đôi = </t>
  </si>
  <si>
    <t>Mũ bảo hộ: 65 chiếc x 200.000đ/chiếc =</t>
  </si>
  <si>
    <t>Quần áo mưa: 65 bộ x 540.000đ/bộ =</t>
  </si>
  <si>
    <t>Khẩu trang vải: 50 người x 3cái/tháng x 10.000đ/cái x 12 tháng =</t>
  </si>
  <si>
    <t>Găng tay cao su: 360 đôi x  20.000đ/đôi =</t>
  </si>
  <si>
    <t>Ủng cao su: 40 đôi x 100.000đ/đôi =</t>
  </si>
  <si>
    <t>Rễ quét: 1 cái/tàu/tháng x 3 tàu x 12 tháng x 15.000đ/cái =</t>
  </si>
  <si>
    <t>xẻng: 1 cái/tàu/2 tháng x 3 tàu x 6 x 50.000đ/cái =</t>
  </si>
  <si>
    <t>Cào:  12 cái x 80.000đ/cái =</t>
  </si>
  <si>
    <t>Lồ chứa rác: 300 cái x 100.000đ/cái =</t>
  </si>
  <si>
    <t>Xô múc nước: 12 cái x 15.000đ/cái =</t>
  </si>
  <si>
    <t>Xà phòng: 2 kg/phương tiện x 8 phương tiện x 40.000đ/kg x 12 tháng =</t>
  </si>
  <si>
    <t>11.2</t>
  </si>
  <si>
    <t>In vé điện tử tham quan vịnh và lưu trú: 1.250.000 vé x 1.000 đ/vé =</t>
  </si>
  <si>
    <t>11.3</t>
  </si>
  <si>
    <t>Mua bảo Hiểm trên vé thăm quan vịnh và lưu trú nghỉ đêm: 1.250.000 vé x 1000đ/vé =</t>
  </si>
  <si>
    <t>Chi mua sắm, sửa chữa tài sản, công cụ dụng cụ phục vụ công tác chuyên môn</t>
  </si>
  <si>
    <t>Mua đồ dùng sinh hoạt, thiết bị và dụng cụ cho các tàu môi trường: 6 phương tiện x 50.trđ/phương tiện =</t>
  </si>
  <si>
    <t>Sửa chữa cầu dẫn và điểm đỗ phương tiện</t>
  </si>
  <si>
    <t>Bảo dưỡng, sửa chữa, nâng cấp trạm thu phí Vạn Tà 1 trạm x 1.500.000đ</t>
  </si>
  <si>
    <t>Bảo dưỡng, sửa chữa, nâng cấp trạm thu phí Trà Báu 1 trạm x 1.500.000đ</t>
  </si>
  <si>
    <t>Bảo dưỡng, sửa chữa nhà công vụ Quai Tơ 1 nhà x 1.000.000đ</t>
  </si>
  <si>
    <t>Nâng cấp, duy trì website ( hostting, bảo mật, thiết kế lại giao diện, cập nhật CMS) trọn gói</t>
  </si>
  <si>
    <t>Phần mềm bản quyền thiết kế &amp; dựng phim ( Adobe Creative Cloud, Canva Pro, Capcut pro…) thời hạn 1 năm</t>
  </si>
  <si>
    <t>Mua flycam 4K ( DJI Air 3 hoặc tương đương:  1 chiếc x 70.000.000đ/chiếc =</t>
  </si>
  <si>
    <t>Micro thu âm, tripod, phụ kiện quay phim: 1 bộ x 15.000.000đ/bộ =</t>
  </si>
  <si>
    <t>Bản quyền hình ảnh video</t>
  </si>
  <si>
    <t>Tài liệu và tờ rơi tuyên truyền</t>
  </si>
  <si>
    <t>Xây dựng điểm check in ngoài trời ( mô hình 3D, biểu tượng bảo vệ môi trường…)</t>
  </si>
  <si>
    <t>Túi sinh học phân hủy hoàn toàn in logo " Nói không với rác thải nhựa"</t>
  </si>
  <si>
    <t>In Pao, poster, standee ( bạt sinh học, khung tái sử dụng…) 100m2 x 250.000đ/m2 =</t>
  </si>
  <si>
    <t>Clip phóng sự tuyên truyền quảng bá các giá trị, vẻ đẹp di sản</t>
  </si>
  <si>
    <t>Mua máy quay phim</t>
  </si>
  <si>
    <t>Bảo dưỡng hệ thống phao neo đậu, phao dẫn luồng tại Gia Luận, Tùng Gấu, Tùng Tràng: 6 bộ x 300.000.000đ/bộ =</t>
  </si>
  <si>
    <t>Mua mới bộ máy vi tính: 01 bộ x 15.trđ/bộ =</t>
  </si>
  <si>
    <t>Mua mới máy in nhiệt: 3 cái x 3.000.000đ/cái =</t>
  </si>
  <si>
    <t>Mua máy in có chức năng đa năng</t>
  </si>
  <si>
    <t>Mua bơm điện 24 V: 8 cái x 2.400.000đ/cái =</t>
  </si>
  <si>
    <t>Bình ắc quy 200 Am: 12 cái x 4.500.000đ/cái =</t>
  </si>
  <si>
    <t>Phao tròn cứu sinh 2 tender:  4 chiếc x 1.000.000đ/chiếc =</t>
  </si>
  <si>
    <t>Mua bổ sung đồ dùng sinh hoạt cho 2 tender: 2 tàu x 5.000.000đ/tàu/năm =</t>
  </si>
  <si>
    <t>Mua bơm cứu hỏa cho tender: 2 cái x 3.500.000đ/cái =</t>
  </si>
  <si>
    <t>Mua bơm làm mát cho tender: 2 cái x 3.500.000đ/cái =</t>
  </si>
  <si>
    <t>Mua áo phao mới cho các tàu: 52 cái x 150.000đ/cái =</t>
  </si>
  <si>
    <t>Mua áo phao mới cho cầu dẫn bến bèo: 50 cái x 150.000đ/cái =</t>
  </si>
  <si>
    <t>Mua đệm va cho các tàu: 50 quả x 150.000đ/quả =</t>
  </si>
  <si>
    <t>Dây neo cho các tàu phòng chống bão: 100 kg x 110.000đ/kg =</t>
  </si>
  <si>
    <t>Dây neo cho các trạm : 500 kg x 110.000đ/kg =</t>
  </si>
  <si>
    <r>
      <t xml:space="preserve">Làm mới biển đường dẫn, biển niêm yết giá Bến Bèo: 25m </t>
    </r>
    <r>
      <rPr>
        <sz val="14"/>
        <color theme="1"/>
        <rFont val="Calibri"/>
        <family val="2"/>
      </rPr>
      <t>²</t>
    </r>
    <r>
      <rPr>
        <sz val="14"/>
        <color theme="1"/>
        <rFont val="Times New Roman"/>
        <family val="1"/>
      </rPr>
      <t xml:space="preserve"> x 850.000đ/m</t>
    </r>
    <r>
      <rPr>
        <sz val="14"/>
        <color theme="1"/>
        <rFont val="Calibri"/>
        <family val="2"/>
      </rPr>
      <t>²</t>
    </r>
    <r>
      <rPr>
        <sz val="14"/>
        <color theme="1"/>
        <rFont val="Times New Roman"/>
        <family val="1"/>
      </rPr>
      <t xml:space="preserve"> =</t>
    </r>
  </si>
  <si>
    <t>Chi phí sửa chữa, mua vật tư sửa chữa máy các tàu và tender</t>
  </si>
  <si>
    <t>Thay mới biển niêm yết giá vé, tour tuyến bằng khung mạ kẽm 4x2, cột mạ kẽm phi 7,6cm kích thước (21,2m x 1,0m).</t>
  </si>
  <si>
    <t>Thay mới biển nhà chờ Gia luận khung mạ kẽm 4x2 kích thước (0,76m x 3,2m)</t>
  </si>
  <si>
    <t>Thay mới biển niêm yết giá vé, tour tuyến bằng khung mạ kẽm 4x2, cột mạ kẽm phi 7,6cm kích thước (2,7m x 4,0m)</t>
  </si>
  <si>
    <t>Mua mới quạt hơi nước 600W: 3 cái x 3.500.000đ/cái =</t>
  </si>
  <si>
    <t>Thay mới mặt biển nội quy, quy định miễn giảm giá vé Bến Bèo kích thước ( 1,1m x 1,9m): 2 cái x 1.200.000đ/cái =</t>
  </si>
  <si>
    <t>Thay bạt mặt biển “Lan Hạ top các vịnh đẹp nhất thế giới’’ Bến Bèo kích thước 4,8mx2,7m: 2 cái x 6.000.000đ/cái =</t>
  </si>
  <si>
    <t>Thay mới mặt biển niêm yết giá vé, tour tuyến Bến Bèo kích thước (1,8mx 2,0m) 2 cái x 1.800.000đ/cái =</t>
  </si>
  <si>
    <t>Thay biển chủ đề năm, chúc mừng năm mới 2065 Bến Bèo: 2 cái x 2.500.000đ/cái =</t>
  </si>
  <si>
    <t>Trạm Quai Tơ</t>
  </si>
  <si>
    <t>Thay mới biển niêm yết giá vé, tour tuyến bằng khung mạ kẽm 4x2, cột mạ kẽm phi 7,6cm kích thước (2,7m x 4,0m).</t>
  </si>
  <si>
    <t>Thay biển chủ đề năm, chúc mừng năm mới 2026</t>
  </si>
  <si>
    <t>Mua phi nhựa bơm PU: 30 quả x 2.000.000đ/quả =</t>
  </si>
  <si>
    <t>Cải tạo, sửa chữa, nâng cấp hệ thống bán và kiểm soát vé tại bến Bèo</t>
  </si>
  <si>
    <t>Bến Gia Luận</t>
  </si>
  <si>
    <t>- Thay mới biển nhà chờ Gia luận khung mạ kẽm 4x2 kích thước (0,76m x 3,2m).</t>
  </si>
  <si>
    <t>- Thay mới biển niêm yết giá vé, tour tuyến bằng khung mạ kẽm 4x2, cột mạ kẽm phi 7,6cm kích thước (2,7m x 4,0m). .</t>
  </si>
  <si>
    <t>- Sửa chữa nhà chờ Bến Gia Luân</t>
  </si>
  <si>
    <t>Mua mới 1 máy in</t>
  </si>
  <si>
    <t>Thay biển chủ đề năm, chúc mừng năm mới 2026 Gia Luận</t>
  </si>
  <si>
    <t>Thay biển chủ đề năm, chúc mừng năm mới 2026 bến Gót</t>
  </si>
  <si>
    <t>Mua máy hủy tài liệu</t>
  </si>
  <si>
    <t>Màn hình tivi đê giám sát camera</t>
  </si>
  <si>
    <t>Hộc để thiết bị âm thanh hội trường</t>
  </si>
  <si>
    <t>- Thay mới biển niêm yết giá vé, tour tuyến bằng khung mạ kẽm 4x2, cột mạ kẽm phi 7,6cm kích thước (2,7m x 4,0m) lối vào động Hoa Cương</t>
  </si>
  <si>
    <t>- Sửa chữa nhà làm việc, lối lên Động Hoa Cương</t>
  </si>
  <si>
    <t>- Lắp đặt hệ thống camera giám sát</t>
  </si>
  <si>
    <t>- Mua mới 1 máy in, máy tính phục vụ công việc</t>
  </si>
  <si>
    <t>Các khoản chi khác</t>
  </si>
  <si>
    <t>Chi tiếp khách</t>
  </si>
  <si>
    <t>Lắp đặt mới hệ thống phao neo đậu, phao báo hiệu, nhà công vụ thuộc dự án mở rộng điểm lưu trú ngủ đêm trên các Vịnh thuộc quần đảo Cát Bà;</t>
  </si>
  <si>
    <t>Mua sắm, đóng mới phương tiện phục vụ nhiệm vụ duy trì vệ sinh môi trường trên các Vịnh.</t>
  </si>
  <si>
    <t>Mua sắm xuồng cao tốc phục vụ công tác tuần tra, kiểm soát giữa các điểm neo đậu lưu trú ngủ đêm</t>
  </si>
  <si>
    <t xml:space="preserve">Tư vấn khảo sát, lập hồ sơ dữ liệu quản lý trên các Vịnh </t>
  </si>
  <si>
    <t>Lắp mới hệ thống kiểm soát vé tại bến Gia Luận</t>
  </si>
  <si>
    <t>Chi phí cho hoạt động tuyên truyền di sản và truyền thông</t>
  </si>
  <si>
    <t>Biểu số 16.1</t>
  </si>
  <si>
    <t>Hệ Số lương cơ bản</t>
  </si>
  <si>
    <t>Tổng lương 
và các khoản 
phụ cấp năm 2023</t>
  </si>
  <si>
    <t xml:space="preserve">Phụ cấp độc hại </t>
  </si>
  <si>
    <t>Tổng dự kiến 
năm 2024</t>
  </si>
  <si>
    <t>PC Đảng</t>
  </si>
  <si>
    <t>PC khu vực</t>
  </si>
  <si>
    <t>2=3+4+5+6+7</t>
  </si>
  <si>
    <t>8=(1+2)*2340000*12</t>
  </si>
  <si>
    <t>9</t>
  </si>
  <si>
    <t>10=(1+3+4)*2340000*23,5/100*12</t>
  </si>
  <si>
    <t>11</t>
  </si>
  <si>
    <t>12</t>
  </si>
  <si>
    <t>13</t>
  </si>
  <si>
    <t>14=8+9+11+12</t>
  </si>
  <si>
    <t>Biên Chế</t>
  </si>
  <si>
    <t>Nguyễn Thùy Liên</t>
  </si>
  <si>
    <t>Phạm Vĩnh Toàn</t>
  </si>
  <si>
    <t>Phùng Quang Tuyền</t>
  </si>
  <si>
    <t>Bùi Công Khanh</t>
  </si>
  <si>
    <t>Trần Quang Luân</t>
  </si>
  <si>
    <t>Hà Thị Thắm</t>
  </si>
  <si>
    <t>Lê Văn Kiên</t>
  </si>
  <si>
    <t>Trần Trung Dũng</t>
  </si>
  <si>
    <t>Phạm Thị Hợp</t>
  </si>
  <si>
    <t>Phạm Vũ Việt Kường</t>
  </si>
  <si>
    <t>Nguyễn Thị Tuyết</t>
  </si>
  <si>
    <t>Phạm Thị Nhật Lệ</t>
  </si>
  <si>
    <t>Vũ Văn Liệu</t>
  </si>
  <si>
    <t>Đinh Hữu Viết</t>
  </si>
  <si>
    <t>Trần Trung Huy</t>
  </si>
  <si>
    <t>Phan Ngọc Thụ</t>
  </si>
  <si>
    <t>Hợp đồng</t>
  </si>
  <si>
    <t>Hợp đồng không xác định thời hạn</t>
  </si>
  <si>
    <t>Vũ Đức Thắng</t>
  </si>
  <si>
    <t>Trần Thị Thúy Vân</t>
  </si>
  <si>
    <t>Đoàn Thị Tươi</t>
  </si>
  <si>
    <t>Nguyễn Huy Tuyên</t>
  </si>
  <si>
    <t>Vũ Thị Lệ Chi</t>
  </si>
  <si>
    <t>Đỗ Thị Hương</t>
  </si>
  <si>
    <t>Đặng Phương Thảo</t>
  </si>
  <si>
    <t>Nguyễn Thị Thuần</t>
  </si>
  <si>
    <t>Nguyễn Thị Quỳnh</t>
  </si>
  <si>
    <t>Lê Phương Thảo</t>
  </si>
  <si>
    <t>Đỗ Đức Đĩnh</t>
  </si>
  <si>
    <t>Vũ Thị Thu Trà</t>
  </si>
  <si>
    <t>Bùi Thị Minh Phượng</t>
  </si>
  <si>
    <t>Nguyễn Đình Hưng</t>
  </si>
  <si>
    <t>Vũ Mạnh Cường</t>
  </si>
  <si>
    <t>Hoàng Lệ Quyên</t>
  </si>
  <si>
    <t>Nguyễn Hải Dương</t>
  </si>
  <si>
    <t>Hoàng Minh Thái</t>
  </si>
  <si>
    <t>Phạm Quang Long</t>
  </si>
  <si>
    <t>Nguyễn Du Đảo</t>
  </si>
  <si>
    <t>Trần Tiến Dương</t>
  </si>
  <si>
    <t>Phạm Vinh Quang</t>
  </si>
  <si>
    <t>Nguyễn Hồng Vân</t>
  </si>
  <si>
    <t>Trần Tiến Kông</t>
  </si>
  <si>
    <t>Hoàng Văn Long</t>
  </si>
  <si>
    <t>Bùi Đức Đoàn</t>
  </si>
  <si>
    <t>Đào Văn Long</t>
  </si>
  <si>
    <t>Đỗ Quang Đại</t>
  </si>
  <si>
    <t>Nguyễn Phi Long</t>
  </si>
  <si>
    <t>Nguyễn Đình Vinh</t>
  </si>
  <si>
    <t>Nguyễn Bá Quang</t>
  </si>
  <si>
    <t>Hoàng Huy Tùng</t>
  </si>
  <si>
    <t>Phạm Hồng Sơn</t>
  </si>
  <si>
    <t>Vũ Hồng Ngọc Duy</t>
  </si>
  <si>
    <t>Bùi Văn Thế</t>
  </si>
  <si>
    <t>Lê Hoàng Sơn</t>
  </si>
  <si>
    <t>Hợp đồng Từ 2,34 trở xuống</t>
  </si>
  <si>
    <t>Nguyễn Thị Hà Thu</t>
  </si>
  <si>
    <t>Nguyễn Thị Tư</t>
  </si>
  <si>
    <t xml:space="preserve">Đoàn Hồng Minh Trang </t>
  </si>
  <si>
    <t>Hoàng Sơn Tùng</t>
  </si>
  <si>
    <t>Hoàng Thị Diệu Hoa</t>
  </si>
  <si>
    <t>Nguyễn Mạnh Cường</t>
  </si>
  <si>
    <t>Nguyễn Chiến Thắng</t>
  </si>
  <si>
    <t>Phạm Hoàng Trung</t>
  </si>
  <si>
    <t>Hoàng Văn Thiết</t>
  </si>
  <si>
    <t>Hoàng Gia Bảo</t>
  </si>
  <si>
    <t>Nguyễn Phương Thảo</t>
  </si>
  <si>
    <t>Nguyễn Văn Hải</t>
  </si>
  <si>
    <t>Biểu số 16.2</t>
  </si>
  <si>
    <t>Tổng lương 
và các khoản 
phụ cấp năm 2024 
(Đồng)</t>
  </si>
  <si>
    <t>Phụ cấp độc hại 
(Đồng)</t>
  </si>
  <si>
    <t>Tổng dự kiến 
năm 2024
(Đồng)</t>
  </si>
  <si>
    <t>Thành tiền
(Đồng)</t>
  </si>
  <si>
    <t>8=(1+2)*1800000*12</t>
  </si>
  <si>
    <t>9=26 ngày x 20.000đ/ngày* 12 tháng</t>
  </si>
  <si>
    <t>10=(1+3+4)*1800000* 23,5/100*12</t>
  </si>
  <si>
    <t>14=8+9+10+11</t>
  </si>
  <si>
    <t>Bổ sung 6 người Tổ quản lý môi trường và TT</t>
  </si>
  <si>
    <t>Bổ sung 2 người Tổ KTXL</t>
  </si>
  <si>
    <t>Bổ sung 4 người Tổ quản lý du lịch và BT</t>
  </si>
  <si>
    <t>Biểu số 16.3</t>
  </si>
  <si>
    <t xml:space="preserve">ĐVT: Đồng </t>
  </si>
  <si>
    <t>Cộng 3 năm</t>
  </si>
  <si>
    <t>Dự kiến thực hiện
 năm 2026</t>
  </si>
  <si>
    <t>Dự kiến thực hiện
năm 2027</t>
  </si>
  <si>
    <t>Dự kiến thực hiện năm 2028</t>
  </si>
  <si>
    <t>Chi phí nghiệp vụ chuyên môn của công tác bảo tồn và truyền thông</t>
  </si>
  <si>
    <t>Thông tin, tuyên truyền, liên lạc</t>
  </si>
  <si>
    <t>Tuyên truyền, quảng bá, xúc tiến du lịch</t>
  </si>
  <si>
    <t>Cẩm nang về vịnh Lan Hạ</t>
  </si>
  <si>
    <t>Triển khai các chương trình xúc tiến quảng bá vịnh Lan Hạ trong và ngoài nước</t>
  </si>
  <si>
    <t>(1) Kinh phí thực hiện viểt bài, tuyên truyền và quảng bá về vịnh Lan Hạ trên website, fanpage, youtube tiktok, tham gia các Hội chợ du lịch trong nước (4 hội chợ)
(2) Phối hợp xúc tiến quảng bá tại các di sản thế giới tại Việt Nam (nhân dịp các sự kiện của các di sản)
(3) Xúc tiến quảng bá tại các chương trình đi nước ngoài (câu lạc bộ các vịnh đẹp nhất thế giới, mạng lưới các di sản biển...)</t>
  </si>
  <si>
    <t>In ấn tài liệu tuyên truyền, mua ấn phẩm, sản phẩm phục vụ tuyên truyền,  chi phí cho truyền thông phương tiện, nhiên liệu... phục vụ nhiệm vụ "Tổ chức các hoạt động tuyên truyền, nâng cao nhận thức cộng đồng trong bảo vệ các giá trị Di sản, bảo vệ môi trường sinh thái, bảo vệ đa dạng sinh học, ứng phó với biến đổi khí hậu, rác thải nhựa"</t>
  </si>
  <si>
    <t>Video clip giới thiệu các giá trị: thẩm mỹ, địa chất địa mạo, đa dạng sinh học, văn hóa lịch sử của Di sản thiên nhiên thế giới vịnh Lan Hạ (03 video clip)</t>
  </si>
  <si>
    <t>Thuê đơn vị dựng Video clip</t>
  </si>
  <si>
    <t>Chi phí nghiệp vụ chuyên môn của từng ngành</t>
  </si>
  <si>
    <t>Điều tra khảo sát, nghiên cứu khoa học</t>
  </si>
  <si>
    <t>Nghiên cứu, xác định giá trị Động Hoa Cương</t>
  </si>
  <si>
    <t xml:space="preserve">
Kinh phí thuê chuyên gia, lấy mẫu, công tác phí, mua vật tư, dụng cụ lấy mẫu phân tích</t>
  </si>
  <si>
    <t>Đo vẽ chi tiết, làm rõ giá trị địa chất địa mạo các hang động trong khu vực Di sản VLH</t>
  </si>
  <si>
    <t xml:space="preserve">
Chi phí thuê chuyên gia phối hợp thực hiện, mua sắm một số trang thiết bị cần thiết</t>
  </si>
  <si>
    <t>Giám sát các nguy cơ có tác động đến giá trị Di sản tại khu vực ven bờ và việc tuân thủ các quy định của pháp luật về bảo vệ môi trường (rác thải, nước thải...) của các hoạt động kinh tế - xã hội trên vịnh Lan Hạ.</t>
  </si>
  <si>
    <t>Chi phí phương tiện, nhiên liệu, thuê chuyên gia, trang thiết bị</t>
  </si>
  <si>
    <t>Điều tra, đánh giá (số lượng, trữ lượng, diện tích) để xây dựng cơ sở dữ liệu loài Hoa Lan Vịnh Lan Hạ ;</t>
  </si>
  <si>
    <t>Kinh phí thuê chuyên gia, phương tiện, công khảo sát, xây dựng cơ sở dữ liệu, phương án khoanh vùng...</t>
  </si>
  <si>
    <t>Đào tạo, bồi dưỡng</t>
  </si>
  <si>
    <t xml:space="preserve">Tập huấn nâng cao nghiệp vụ quản lý, bảo vệ, phát huy giá trị </t>
  </si>
  <si>
    <t>Thuê giảng viên, máy chiếu, hội trường, mua sắm vật dụng phục vụ giảng dạy</t>
  </si>
  <si>
    <t>Tập huấn nâng cao nghiệp vụ về quản lý, bảo tồn di tích, di sản văn hóa phi vật thể gắn với phát triển du lịch bền vững</t>
  </si>
  <si>
    <t>Tổ chức hội thảo phát huy giá trị văn hóa làng chài trên vịnh Lan Hạ ( Cái Bèo )</t>
  </si>
  <si>
    <t>Sưu tầm tài liệu, mời nghệ nhân, nghệ sĩ tham gia truyền dạy, thu âm…</t>
  </si>
  <si>
    <t>Xây dựng giấy phép bảo vệ môi trường cho các điểm tham quan theo quy định tại điểm c khoản 14 điều 168 Nghị định 08/2022/NĐ-CP ngày 10/01/2022 của Chính phủ quy định chi tiết một số điều của Luật Bảo vệ môi trường 202</t>
  </si>
  <si>
    <t xml:space="preserve"> (Hoàn thiện hồ sơ pháp lý về bảo vệ môi trường tại các điểm tham quan trên vịnh Lan Hạ (các điểm đã có hệ thống xử lý nước thải) theo quy định tại Luật bảo vệ môi rường 2020)
Thuê đơn vị tư vấn lập giấy phép môi trường</t>
  </si>
  <si>
    <t>Mua tài sản dùng cho công tác chuyên môn</t>
  </si>
  <si>
    <t>Máy quay dưới nước Sony Action Cam FDR X3000R</t>
  </si>
  <si>
    <t>Máy ghi âm Sony</t>
  </si>
  <si>
    <t>Đèn pin đội đầu chống thám nước</t>
  </si>
  <si>
    <t>Hộp nhựa vuông</t>
  </si>
  <si>
    <t>Túi bóng Zipper</t>
  </si>
  <si>
    <t>Thước sắt 30m</t>
  </si>
  <si>
    <t>Mua Khúc xạ kế đo độ mặn 
(01 máy)</t>
  </si>
  <si>
    <t xml:space="preserve">Các thiết bị đo nhanh tại hiện trường phục vụ công tác đánh giá nhanh chất lượng môi trường nước, không khí, hang động </t>
  </si>
  <si>
    <t>Mua máy đo độ đục cầm tay 
(01 máy)</t>
  </si>
  <si>
    <t>Mua máy đo Oxy hòa tan cầm tay 
(01 máy)</t>
  </si>
  <si>
    <t>Mua máy đo pH/EC/TDS/Nhiệt độ 
(01 máy)</t>
  </si>
  <si>
    <t>Mua máy đo khí CO2 cầm tay 
(01 máy)</t>
  </si>
  <si>
    <t>Mua máy đo độ ẩm không khí 
(01 máy)</t>
  </si>
  <si>
    <t>Mua máy đo tốc độ, lưu lượng gió 
(01 máy)</t>
  </si>
  <si>
    <t>Lưu điện 1000VA</t>
  </si>
  <si>
    <t>Máy ảnh Canon EOS 5D Mark IV + ống kính Macro Canon EF 100mm f/2,8L</t>
  </si>
  <si>
    <t>Tủ chống ẩm bảo quản máy ảnh (Fujie AD06 - 60L)</t>
  </si>
  <si>
    <t>05 bộ đồ lặn phục vụ công tác nghiên cứu, bảo tồn, cứu hộ, cứu nạn</t>
  </si>
  <si>
    <t>Biểu số 16.4</t>
  </si>
  <si>
    <t>Địa điểm thu phí</t>
  </si>
  <si>
    <t>Để lại đơn vị thu phí  21%</t>
  </si>
  <si>
    <t>Nộp ngân sách 79%</t>
  </si>
  <si>
    <t>Tổng chi</t>
  </si>
  <si>
    <t>Thăm quan tuyến các vịnh thuộc quần đảo Cát Bà</t>
  </si>
  <si>
    <t>Thăm quan tuyến các vịnh thuộc quần đảo Cát Bà và lưu trú 01 đêm</t>
  </si>
  <si>
    <t>Thăm quan tuyến các vịnh thuộc quần đảo Cát Bà và lưu trú 02 đêm</t>
  </si>
  <si>
    <t>Thăm quan tuyến các vịnh thuộc quần đảo Cát Bà và lưu trú 03 đêm</t>
  </si>
  <si>
    <t>Năm 2026</t>
  </si>
  <si>
    <t>Biểu số 17</t>
  </si>
  <si>
    <t>Vé dịch vụ thăm quan Khu du lịch Đảo Cò</t>
  </si>
  <si>
    <t>Vé dịch vụ trông giữ trông giữ xe máy, xe ô tô ban ngày</t>
  </si>
  <si>
    <t>Xe máy 5.000đ, ô tô dưới 5 chỗ 15.000đ, ô tô 7-16  chỗ 20.000đ, ô tô trên 16 chỗ 25.000đ.</t>
  </si>
  <si>
    <t>Vé dịch vụ chèo Thuyền</t>
  </si>
  <si>
    <t>Vé dịch vụ Thiên Nga</t>
  </si>
  <si>
    <t>Thu dịch vụ hàng quán, ki ốt</t>
  </si>
  <si>
    <t>Hàng quán 2.000.000đ/năm, ki ốt 5.000.000đ/năm.</t>
  </si>
  <si>
    <t xml:space="preserve">Chi trả lương, phụ cấp, chi thường xuyên, sửa chữa, trang trí và hoạt động tại Khu du lịch </t>
  </si>
  <si>
    <t>Biểu 18: Dự toán cả năm về phí thu được Khu du lịch Đảo Cò.</t>
  </si>
  <si>
    <t>Biểu 19: Dự toán cả năm về chi phí cần thiết cho các hoạt động về thu phí Khu di tích quốc gia danh lam thắng cảnh Đảo Cò</t>
  </si>
  <si>
    <t>Biểu số 05</t>
  </si>
  <si>
    <t>Biểu số 06</t>
  </si>
  <si>
    <t>Biểu số 07</t>
  </si>
  <si>
    <t>BẢNG TỔNG HỢP DỰ TOÁN THU VÀ TỶ LỆ PHÂN BỔ CÁC NGUỒN THU TẠI BAN QLDT CÔN SƠN - KIẾP BẠC NĂM 2025</t>
  </si>
  <si>
    <t>DỰ TOÁN CHI CÁC NGUỒN KINH PHÍ TẠI BAN QLDT CÔN SƠN - KIẾP BẠC NĂM 2025</t>
  </si>
  <si>
    <t xml:space="preserve">BẢNG TỔNG HỢP  LƯƠNG VÀ CÁC KHOẢN CHI THEO LƯƠNG TẠI BAN QLDT CÔN SƠN - KIẾP BẠC  NĂM 2026 </t>
  </si>
  <si>
    <t xml:space="preserve">KẾ HOẠCH CHI TẠI ĐƠN VỊ TỔ CHỨC THU TẠI BAN QLDT CÔN SƠN - KIẾP BẠC </t>
  </si>
  <si>
    <t xml:space="preserve">PHƯƠNG ÁN ĐỀ NGHỊ GIỮ NGUYÊN 
MỨC THU PHÍ THAM QUAN DANH LAM THẮNG CẢNH THUỘC BAN QUẢN LÝ CÁC VỊNH THUỘC QUẦN ĐẢO CÁT BÀ </t>
  </si>
  <si>
    <t xml:space="preserve">BIỂU DỰ KIẾN KẾ HOẠCH THU PHÍ THĂM QUAN SAU ĐIỀU CHỈNH TỔ CHỨC THU PHÍ BAN QUẢN LÝ CÁC VỊNH THUỘC QUẦN ĐẢO CÁT BÀ </t>
  </si>
  <si>
    <t>BIÊU CHI TIÊT DỰ TOÁN THU  PHÍ THAM QUAN NĂM 2026 SAU ĐIỀU CHỈNH TỔ CHỨC THU TẠI BAN QUẢN LÝ CÁC VỊNH THUỘC QUẦN ĐẢO CÁT BÀ</t>
  </si>
  <si>
    <t>BIÊU CHI TIÊT DỰ TOÁN THU  PHÍ THAM QUAN TẠI BAN QUẢN LÝ CÁC VỊNH THUỘC QUẦN ĐẢO CÁT BÀ NĂM 2025</t>
  </si>
  <si>
    <t>KẾ HOẠCH CHI TẠI ĐƠN VỊ TỔ CHỨC THU BAN QUẢN LÝ CÁC VỊNH THUỘC QUẦN ĐẢO CÁT BÀ</t>
  </si>
  <si>
    <t>BẢNG TỔNG HỢP  LƯƠNG VÀ CÁC KHOẢN CHI THEO LƯƠNG NĂM 2026 ( TỪ NGUỒN THU PHÍ THAM QUAN) BAN QUẢN LÝ CÁC VỊNH THUỘC QUẦN ĐẢO CÁT BÀ</t>
  </si>
  <si>
    <t>BẢNG TỔNG HỢP  LƯƠNG VÀ CÁC KHOẢN CHI THEO LƯƠNG NĂM 2026 LAO ĐỘNG BỔ SUNG THEO ĐỀ ÁN VỊ TRÍ VIỆC LÀM( TỪ NGUỒN THU PHÍ THAM QUAN) BAN QUẢN LÝ CÁC VỊNH THUỘC QUẦN ĐẢO CÁT BÀ</t>
  </si>
  <si>
    <t>BIỂU DỰ TOÁN CHI CÔNG TÁC TRUYỀN THÔNG DI SẢN GIAI ĐOẠN 2026-2028 TẠI BAN QUẢN LÝ CÁC VỊNH THUỘC QUẦN ĐẢO CÁT BÀ</t>
  </si>
  <si>
    <t>Mức thu nộp về NSNN</t>
  </si>
  <si>
    <t>Tiền phí tham quan</t>
  </si>
  <si>
    <t>Phí tham quan di tích, danh lam thắng cảnh Côn Sơn</t>
  </si>
  <si>
    <t>Phí tham quan di tích Kiếp Bạc</t>
  </si>
  <si>
    <t>Phí tham quan di tích Đền Cao</t>
  </si>
  <si>
    <t>Phí tham quan di tích lịch sử và danh thắng Động Kính Chủ</t>
  </si>
  <si>
    <t>Phạm Thị Duyên</t>
  </si>
  <si>
    <t>PC TNVK</t>
  </si>
  <si>
    <t>Chi phí khác cho con người</t>
  </si>
  <si>
    <t>3</t>
  </si>
  <si>
    <t>4</t>
  </si>
  <si>
    <t xml:space="preserve">7=(1+2)*2.340.000*12 </t>
  </si>
  <si>
    <t>8=(1+3+6)*2.340.000* 23,5%*12</t>
  </si>
  <si>
    <t xml:space="preserve"> Bảo hiểm, KPCĐ 23,5% BH trừ vào chi phí</t>
  </si>
  <si>
    <t>Tổng chi phí tiền lương và các khoản đóng góp năm 2026</t>
  </si>
  <si>
    <t>10</t>
  </si>
  <si>
    <t>9=7+8</t>
  </si>
  <si>
    <t>12=9+10+11</t>
  </si>
  <si>
    <t>14</t>
  </si>
  <si>
    <t>15</t>
  </si>
  <si>
    <t>Chi tiết theo biểu 05.1</t>
  </si>
  <si>
    <t>Chi tiền thưởng, cải cách tiền lương, ổn định thu nhập</t>
  </si>
  <si>
    <t>Chi chuyên môn</t>
  </si>
  <si>
    <t>Trợ cấp khác</t>
  </si>
  <si>
    <t>1.1</t>
  </si>
  <si>
    <t>1.2</t>
  </si>
  <si>
    <t>1.3</t>
  </si>
  <si>
    <t>Mua sắm CCDC phục vụ công việc, dịch vụ và công tác thu phí</t>
  </si>
  <si>
    <t>Tuyên truyền quảng bá truyền thông</t>
  </si>
  <si>
    <t>Mua hóa chất tẩy rửa chuyên dụng phục vụ các khu vệ sinh công cộng cho khách tham quan</t>
  </si>
  <si>
    <t>Mua khăn giấy lau tay, giấy vệ sinh phục vụ các khu vệ sinh công cộng cho khách tham quan</t>
  </si>
  <si>
    <t>Hút bể phốt các nhà vệ sinh công cộng của khách tham quan</t>
  </si>
  <si>
    <t>Sửa chữa hệ thống điện chiếu sáng tại các khu vực tham quan (mua vật tư, thay thế thiết bị hỏng, thuê ca cẩu trên cao…)</t>
  </si>
  <si>
    <t>Sửa chữa máy bơm, hệ thống nước tưới cây cảnh, phục vụ nhà vệ sinh công cộng cho khách tham quan….</t>
  </si>
  <si>
    <t>Máy chiếu phục vụ Báo cáo chuyên đề, tọa đàm khoa học, nghiên cứu phát triển du lịch, thu hút khách tham quan</t>
  </si>
  <si>
    <t>Mua máy ảnh kỹ thuật số phục vụ công tác tuyên truyền, quảng bá di tích thu hút khách tham quan</t>
  </si>
  <si>
    <t>Cột sắt sơn đỏ trắng để chăng dây phân luồng khách tham quan</t>
  </si>
  <si>
    <t>Chi hội thảo, hội nghị chuyên đề về danh nhân và di sản nâng cao nghiệp vụ chuyên môn, tuyên truyền giá trị di tích và thu hút khách tham quan</t>
  </si>
  <si>
    <t>Làm video tuyên truyền giá trị nổi bật toàn cầu 5 điểm di tích thành phần Di sản thế giới tây Hải Phòng thu hút khách tham quan</t>
  </si>
  <si>
    <t>Khóa học Photoshop, thiết kế phục vụ công tác nghiên cứu và tuyên truyền thu hút khách tham quan</t>
  </si>
  <si>
    <t>Chi trang trí điểm checkin tại khu di tích Kiếp Bạc</t>
  </si>
  <si>
    <t>Chi trang trí điểm checkin tại khu di tích Côn Sơn</t>
  </si>
  <si>
    <t>Chi trang trí điểm checkin tại khu di tích Kinh Môn</t>
  </si>
  <si>
    <t>Chi trang trí điểm checkin tại khu di tích Cẩm Giàng</t>
  </si>
  <si>
    <t>Chi chăm sóc hoa cây xanh, trang trí ngày lễ tết</t>
  </si>
  <si>
    <t>Chi phòng chống cháy rừng, thiên tai</t>
  </si>
  <si>
    <t>Chi mua sắm dụng, sửa chữa, bảo dưỡng trang thiết bị, dụng cụ, phương tiện phòng chống cháy rừng</t>
  </si>
  <si>
    <t>Chi hỗ trợ hoạt động của tổ, đội phòng cháy rừng</t>
  </si>
  <si>
    <t>Chi khắc phục hậu quả sau cháy, phục hồi rừng, trồng lại cây xanh</t>
  </si>
  <si>
    <t>Sửa chữa thiết bị điện tử, máy in, máy tính, hệ thống POS, cơ sở dữ liệu bán vé</t>
  </si>
  <si>
    <t>Hợp đồng thời vụ (dọn vệ sinh)</t>
  </si>
  <si>
    <t xml:space="preserve">Hợp đồng thời vụ </t>
  </si>
  <si>
    <t xml:space="preserve">Thuê lao động tăng cường bán vé các ngày lễ hội đông tại các di tích: 2 người x 5.000.000đ </t>
  </si>
  <si>
    <t>Hợp đồng dọn vệ sinh môi trường khoán tại di tích (13 người)</t>
  </si>
  <si>
    <t>Phun thuốc diệt muỗi, côn trùng, mối… tại 14 điểm di tích</t>
  </si>
  <si>
    <t>Chi sửa chữa lớn các công trình tại di tích</t>
  </si>
  <si>
    <t>2.4</t>
  </si>
  <si>
    <t>2.5</t>
  </si>
  <si>
    <t>Ngân sách cấp chi thường xuyên</t>
  </si>
  <si>
    <t>Mua sắm CCDC phục vụ công tác thu phí</t>
  </si>
  <si>
    <t>Phòng chống cháy rừng</t>
  </si>
  <si>
    <t>Chi duy tu bảo dưỡng thường xuyên tài sản trang thiết bị máy móc phục vụ công tác thu phí</t>
  </si>
  <si>
    <t>5=2+3+4</t>
  </si>
  <si>
    <t>BẢNG TỔNG HỢP  LƯƠNG VÀ CÁC KHOẢN CHI THEO LƯƠNG TẠI BAN QLDT CÔN SƠN - KIẾP BẠC  NĂM 2025</t>
  </si>
  <si>
    <t>Tổng chi phí tiền lương và các khoản đóng góp năm 2025</t>
  </si>
  <si>
    <t>Chi tiền lương, tiền công, phụ cấp lương, các khoản đóng góp theo quy định cho viên chức, hợp đồng lao động thực hiện quản lý, điều hành, phục vụ hoạt động thu phí, bán soát vé và liên quan đến các hoạt động thu phí</t>
  </si>
  <si>
    <t>Chi tiền lương, tiền công, phụ cấp lương, các khoản đóng góp theo quy định cho viên chức, hợp đồng lao động, hợp đồng khoán thực hiện quản lý, điều hành, phục vụ hoạt động trong nội tự di tích, ghi nhận công đức, vàng hương</t>
  </si>
  <si>
    <t>Tuyên truyền, quảng cáo trên các báo Hải Phòng, báo nhân dân, tạp chí, Mekong Asean, trang mạng xã hội, vtv…về di sản thế giới</t>
  </si>
  <si>
    <t>Tuyên truyền quảng bá truyền thông, nghiên cứu phát huy giá trị di tích</t>
  </si>
  <si>
    <t xml:space="preserve">Chi mua hoa, cây cảnh tại khu di tích Kiếp Bạc </t>
  </si>
  <si>
    <t>Chi mua hoa, cây cảnh tại khu di tích Thanh Mai</t>
  </si>
  <si>
    <t>Chi trang trí điểm checkin tại khu di tích Thanh Mai</t>
  </si>
  <si>
    <t>Chi mua chè, nước tiếp các đoàn khách về làm việc, tham quan và công đức tại các di tích</t>
  </si>
  <si>
    <t>Mua máy vi tính in vé tham quan điện tử tại 2 cổng vé Côn Sơn và 1 cổng vé Kiếp Bạc: 3 bộ x 10 triệu</t>
  </si>
  <si>
    <t>Lắp đặt rào chắn tự động SP609 tại các cổng vé tham quan: 5 cổng x 2 cái (ô tô, xe máy) x 18 triệu</t>
  </si>
  <si>
    <t>Chi phụ cấp công tác phí tham gia các hội thảo du lịch, phát triển tour du lịch thu hút khách tham quan</t>
  </si>
  <si>
    <t>Sửa chữa hệ thống điện chiếu sáng tại các khu vực tham quan</t>
  </si>
  <si>
    <t>Bổ sung máy tính cấu hình cao phục vụ công tác thiết kế maket, đồ họa, dựng video tuyên truyền, quảng cáo thu hút khách tham quan</t>
  </si>
  <si>
    <t>Đồng phục bảo vệ an ninh trật tự, bán vé, soát vé tham quan, thuyết minh, lễ tân đón các đoàn khách tham quan: 48 người x 1.000.000 đồng/bộ</t>
  </si>
  <si>
    <t>Chi mua hoa, cây cảnh trang trí phục vụ khách tham quan tại các điểm di tích nhân dịp Tết âm lịch năm 2025</t>
  </si>
  <si>
    <t>Trang trí làm điểm checkin cho khách tham quan checkin Tết 2025 tại cầu Thấu Ngọc, đền Nguyễn Trãi</t>
  </si>
  <si>
    <t>Chi mua hoa, cây cảnh trang trí phục vụ khách tham quan tại các điểm di tích nhân dịp 30/4 và 1/5/2025</t>
  </si>
  <si>
    <t>Chi mua hoa, cây cảnh trang trí phục vụ khách tham quan tại các điểm di tích nhân dịp 2/9 Quốc Khánh</t>
  </si>
  <si>
    <t>Tổ chức Hội thảo khoa học, chuyên đề về Di sản thế giới Tây Hải Phòng, phát triển du lịch, thu hút khách tham quan</t>
  </si>
  <si>
    <t>In + căng bạt hiflex biển Sơ đồ tham quan Côn Sơn tại ngã ba cổng trụ sở cơ quan, KT 3m*6,5m*2 mặt</t>
  </si>
  <si>
    <t>Biển chỉ dẫn hướng đi cho khách tham quan x 5 cái</t>
  </si>
  <si>
    <t>Thiết kế, in ấn tờ rơi giới thiệu, quảng bá các chương trình trải nghiệm và tour du lịch tại di tích thu hút khách tham quan</t>
  </si>
  <si>
    <t>Máy cắt tỉa cảnh trên cao dùng pin (4 cái*15,8tr)</t>
  </si>
  <si>
    <t>5.1</t>
  </si>
  <si>
    <t>5.2</t>
  </si>
  <si>
    <t>5.3</t>
  </si>
  <si>
    <t>Chi hợp đồng thời vụ</t>
  </si>
  <si>
    <t>2.2.1</t>
  </si>
  <si>
    <t>2.2.2</t>
  </si>
  <si>
    <t>2.2.3</t>
  </si>
  <si>
    <t>e</t>
  </si>
  <si>
    <t>g</t>
  </si>
  <si>
    <t>h</t>
  </si>
  <si>
    <t>2.2.4</t>
  </si>
  <si>
    <t>Bánh đậu xanh Côn Sơn</t>
  </si>
  <si>
    <t>Lắp đặt nhà điều hành trông giữ phương tiện tại Kiếp Bạc</t>
  </si>
  <si>
    <t>Làm hàng rào sắt bao quanh bãi xe Kiếp Bạc giúp trông giữ phương tiện</t>
  </si>
  <si>
    <t>Chi phí dịch thuật, biên dịch tài liệu sang Tiếng Anh phục vụ nghiên cứu, tuyên truyền, biển bảng khách quốc tế và di sản thế giới</t>
  </si>
  <si>
    <t>Chi mua áo mưa phục vụ chống bão: 70 bộ x 300.000đ</t>
  </si>
  <si>
    <t>Mua văn phòng phẩm, công cụ dụng cụ phục vụ bán soát vé (sổ sách, bút, mực dấu…)</t>
  </si>
  <si>
    <t>Mua ô, áo mưa, túi bán vé  phục vụ bán vé các ngày lễ hội đông</t>
  </si>
  <si>
    <t>Hộp, khay đựng vé và tiền + túi hút ẩm, chống ẩm</t>
  </si>
  <si>
    <t xml:space="preserve">Chi mua sắm phục vụ bán soát vé phương tiện </t>
  </si>
  <si>
    <t xml:space="preserve">Chi tiền lương, tiền công, phụ cấp lương, các khoản đóng góp theo quy định cho hợp đồng lao động thực hiện các hoạt động dịch vụ trông giữ xe, bán hàng </t>
  </si>
  <si>
    <t>Tiền mạng internet</t>
  </si>
  <si>
    <t>Chi sửa chữa các công trình phục vụ bán soát vé, đón tiếp khách tham quan</t>
  </si>
  <si>
    <t>Mua hóa đơn điện tử bán vé xe, giấy in nhiệt hóa đơn</t>
  </si>
  <si>
    <t>Thuê lao động tăng cường ghi nhận công đức tại các di tích: 11 người x 7.000.000đ x 2 tháng</t>
  </si>
  <si>
    <t>Nhu cầu chi thực tế sau khi được công nhận là di sản thế giới, dự kiến chi, thực hiện khi có kinh phí</t>
  </si>
  <si>
    <t>Nhu cầu chi thực tế sau khi được công nhận là di sản thế giới, sửa chữa hệ thống hạ tầng phục vụ việc thu phí và khách tham quan đến di tích</t>
  </si>
  <si>
    <t>Ban QLDT Côn Sơn - Kiếp Bạc</t>
  </si>
  <si>
    <t>Ban QLDT Kinh Môn</t>
  </si>
  <si>
    <t>Ban QLDT Cẩm Giàng</t>
  </si>
  <si>
    <t>Sửa chữa máy in hóa đơn điện tử, cần soát vé, nhà điều hành bán vé, biển chỉ dẫn, bảng nội quy khu vực bán vé</t>
  </si>
  <si>
    <t>Mua hóa đơn điện tử bán vé tham quan: 1.500.000 hóa đơn * 100đ</t>
  </si>
  <si>
    <t>Mua giấy in nhiệt vé điện tử: 10.000 cuộn * 7.000đ</t>
  </si>
  <si>
    <t>Làm mới, thay mặt các mặt biển niêm yết giá vé tham quan theo quy định tại khu vực bán vé, biển chỉ dẫn khu vực tham quan</t>
  </si>
  <si>
    <t xml:space="preserve">Trà sen Kiếp Bạc </t>
  </si>
  <si>
    <t>Trà Thái Nguyên (700kg)</t>
  </si>
  <si>
    <t>Âmly tuyên truyền phát thanh công đức tại chùa các điểm di tích Kinh Môn, Cẩm Giàng x 5 bộ</t>
  </si>
  <si>
    <t>Máy cắt cỏ, máy thổi rác hàng năm</t>
  </si>
  <si>
    <t>Bổ sung hàng rào chữ A để phân luồng giao thông, khách vào tham quan</t>
  </si>
  <si>
    <t>Tổ chức hoạt động tuyên truyền giáo dục truyền thống cho học sinh, sinh viên tại Văn Miếu Mao Điền nhân ngày truyền thống 27/2 và ngày 20/11</t>
  </si>
  <si>
    <t>i</t>
  </si>
  <si>
    <t>k</t>
  </si>
  <si>
    <t>Chi phụ cấp công tác phí tham gia các hội thảo du lịch, phát triển tour du lịch theo chương trình của thành phố</t>
  </si>
  <si>
    <t>Chi trang trí hoa, cây cảnh phục vụ khách tham quan tại các di tích nhân dịp tết dương lịch, tết âm lịch, 30/4, 2/9, lễ hội mùa Thu tại 14 điểm di tích</t>
  </si>
  <si>
    <t xml:space="preserve">Chi mua đất màu trồng hoa tại các di tích </t>
  </si>
  <si>
    <t>Chi tạo các điểm checkin phục vụ khách tham quan nhân dịp tết dương lịch, tết âm lịch, 30/4, 2/9, lễ hội tại 14 điểm di tích</t>
  </si>
  <si>
    <t>Chi phí gia hạn các phần mềm quản lý: kế toán, quản lý tài sản, bảo hiểm xã hội, gia hạn chữ ký số...</t>
  </si>
  <si>
    <t>Chi đặt ăn, sắm lễ tiếp các đoàn khách về làm việc, công đức, công ty du lịch, lữ hành</t>
  </si>
  <si>
    <t>Phun thuốc diệt muỗi, côn trùng… tại 14 điểm di tích</t>
  </si>
  <si>
    <t>Phí tham quan cụm di tích, danh lam thắng cảnh Côn Sơn</t>
  </si>
  <si>
    <t>Phí tham quan danh lam thắng cảnh tại Ban Quản lý di tích Côn Sơn - Kiếp Bạc</t>
  </si>
  <si>
    <t xml:space="preserve">BIỂU DỰ KIẾN KẾ HOẠCH THU PHÍ tham QUAN VÀ CÁC NGUỒN NĂM 2026 SAU ĐIỀU CHỈNH TỶ LỆ PHÍ THAM QUAN
 TẠI BAN QLDT CÔN SƠN - KIẾP BẠC </t>
  </si>
  <si>
    <t>Tiền Phí tham quan</t>
  </si>
  <si>
    <t>Số thu quý III sau sáp nhập</t>
  </si>
  <si>
    <t>Dự kiếnsố thu quý IV năm 2025</t>
  </si>
  <si>
    <t>Số thu 9 tháng đầu năm 2025</t>
  </si>
  <si>
    <t>Số thu quý I-II trước sáp nhập</t>
  </si>
  <si>
    <t>Tổng dự kiến thu năm 2025</t>
  </si>
  <si>
    <t>Chi thường xuyên 48%, chi lễ hội 29%, chi đặc thù 18%, nộp SVHTTDL 5%</t>
  </si>
  <si>
    <t>Chi thường xuyên 30%, chi lễ hội 31%, chi đặc thù 34%, nộp SVHTTDL 5%</t>
  </si>
  <si>
    <t>Chi thường xuyên 11%, chi lễ hội 33%, chi đặc thù 51%, nộp SVHTTDL 5%</t>
  </si>
  <si>
    <t>TỔNG CỘNG</t>
  </si>
  <si>
    <t>Bổ sung lọ hoa, mâm sắp lễ tại các di tích</t>
  </si>
  <si>
    <t>Bổ sung hệ thống hàng rào sắt tại các khu vực bãi xe</t>
  </si>
  <si>
    <t xml:space="preserve">Chi sửa chữa lớn các công trình </t>
  </si>
  <si>
    <t>Chi hành chính khác</t>
  </si>
  <si>
    <r>
      <t>Tổng chi thường xuyên</t>
    </r>
    <r>
      <rPr>
        <b/>
        <sz val="13"/>
        <rFont val="Times New Roman"/>
        <family val="1"/>
        <charset val="163"/>
      </rPr>
      <t xml:space="preserve"> </t>
    </r>
    <r>
      <rPr>
        <b/>
        <sz val="13"/>
        <rFont val="Times New Roman"/>
        <family val="1"/>
      </rPr>
      <t>năm 2025</t>
    </r>
  </si>
  <si>
    <t xml:space="preserve">BIỂU DỰ KIẾN KẾ HOẠCH THU PHÍ THAM QUAN SAU ĐIỀU CHỈNH MỨC TỶ LỆ ĐỂ LẠI ĐƠN VỊ TẠI BAN QLDT CÔN SƠN - KIẾP BẠC </t>
  </si>
  <si>
    <t>THUYẾT MINH CHI TỪ NGUỒN THU PHÍ THAM QUAN  
TẠI TRUNG TÂM DỊCH VỤ SỰ NGHIỆP CÔNG PHƯỜNG ĐỒ SƠN NĂM 2025</t>
  </si>
  <si>
    <t>THUYẾT MINH CHI TỪ NGUỒN THU PHÍ THAM QUAN
 TẠI TRUNG TÂM DỊCH VỤ SỰ NGHIỆP CÔNG PHƯỜNG ĐỒ SƠN NĂM 2025</t>
  </si>
  <si>
    <t>TẠI TRUNG TÂM DỊCH VỤ SỰ NGHIỆP CÔNG PHƯỜNG ĐỒ SƠN NĂM 2025</t>
  </si>
  <si>
    <t>KẾ HOẠCH CHI TẠI ĐƠN VỊ TỔ CHỨC THU ĐẢO HÒN DẤU</t>
  </si>
  <si>
    <t>BAN QUẢN LÝ CÁC VỊNH THUỘC QUẦN ĐẢO CÁT BÀ</t>
  </si>
  <si>
    <t>Tiền điện mùa hè, mùa thu: 150tr/tháng x 6 tháng</t>
  </si>
  <si>
    <t>Tiền điện mùa đông: 120tr/tháng x 6 tháng</t>
  </si>
  <si>
    <t>Kiếp Bạc, đền Nguyễn Trãi, đền Trần Nguyên Đán</t>
  </si>
  <si>
    <t>Tiền điện tại 14 điểm di tích</t>
  </si>
  <si>
    <t>Chi thay biển bảng sau thực hiện chính quyền địa phương 2 cấp, tổ chức lại BQLDT Côn Sơn - Kiếp Bạc, đề cử và chào mừng di sản thế giới tại 14 điểm di tích</t>
  </si>
  <si>
    <t>Bánh chưng, mâm ngũ quả trang trí</t>
  </si>
  <si>
    <t>Trang trí cảnh quan tại di sản thế giới đền Kiếp Bạc (trang trí xếp số 2/9)</t>
  </si>
  <si>
    <t>Cờ Hồng kỳ (1,6m*0,6m)</t>
  </si>
  <si>
    <t>Tiền vệ sinh môi trường (vận chuyển và xử lý rác thải thường xuyên) tại các điểm di tích</t>
  </si>
  <si>
    <t>Tiền mạng internet: 7,5 triệu x 12 tháng</t>
  </si>
  <si>
    <t xml:space="preserve">Chi phí tham gia các hội chợ hội theo các chương trình lớn của thành phố Hải Phòng quảng bá du lịch di sản thế giới </t>
  </si>
  <si>
    <t>Dự toán chi năm 2026 (theo tỷ lệ được điều chỉnh)</t>
  </si>
  <si>
    <t>Phí tham quan danh lam thắng cảnh tại Ban Quản lý di tích Côn Sơn - Kiếp Bạci</t>
  </si>
  <si>
    <t xml:space="preserve">Chi thanh toán cho cá nhân thực hiện công việc, dịch vụ và thu phí </t>
  </si>
  <si>
    <t xml:space="preserve">Dự toán thu chi năm 2026 </t>
  </si>
  <si>
    <t>Tổng dự kiến 
năm 2025</t>
  </si>
  <si>
    <t>Bổ sung cờ hồng kỳ, cờ thần và dóc phục vụ trang trí tuyên truyền</t>
  </si>
  <si>
    <t xml:space="preserve">Chi thanh toán cho cá nhân </t>
  </si>
  <si>
    <r>
      <t xml:space="preserve">Chi tiền lương, tiền công, phụ cấp lương, các khoản đóng góp theo quy định cho viên chức, hợp đồng lao động thực hiện quản lý, điều hành, phục vụ hoạt động thu phí, bán soát vé và liên quan đến các hoạt động thu phí </t>
    </r>
    <r>
      <rPr>
        <sz val="13"/>
        <rFont val="Times New Roman"/>
        <family val="1"/>
        <charset val="163"/>
      </rPr>
      <t>(81 người)</t>
    </r>
  </si>
  <si>
    <r>
      <t xml:space="preserve">Chi tiền lương, tiền công, phụ cấp lương, các khoản đóng góp theo quy định cho lao động thực hiện quản lý, điều hành, phục vụ hoạt động trong nội tự di tích, ghi nhận công đức, vàng hương </t>
    </r>
    <r>
      <rPr>
        <sz val="13"/>
        <rFont val="Times New Roman"/>
        <family val="1"/>
        <charset val="163"/>
      </rPr>
      <t>(31 người)</t>
    </r>
  </si>
  <si>
    <r>
      <t xml:space="preserve">Chi tiền lương, tiền công, phụ cấp lương, các khoản đóng góp theo quy định cho hợp đồng lao động thực hiện các hoạt động dịch vụ trông giữ xe, bán hàng </t>
    </r>
    <r>
      <rPr>
        <sz val="13"/>
        <rFont val="Times New Roman"/>
        <family val="1"/>
        <charset val="163"/>
      </rPr>
      <t>(16 người)</t>
    </r>
  </si>
  <si>
    <t>Tổ chức các hoạt động trải nghiệm, thu hút khách tham quan tại Côn Sơn, Kiếp Bạc: Tổ chức các tour du lịch khám phá các di sản thế giới,Tuần văn hóa trà sen Kiếp Bạc, làm gốm, làm bánh, tranh mộc bản, mặc trang phục truyền thống, bắt trạch trong chung, bịt mắt đập niêu,...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</si>
</sst>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00\ _₫_-;\-* #,##0.00\ _₫_-;_-* &quot;-&quot;??\ _₫_-;_-@_-"/>
    <numFmt numFmtId="165" formatCode="0.0%"/>
    <numFmt numFmtId="166" formatCode="_(* #,##0.000_);_(* \(#,##0.000\);_(* &quot;-&quot;??_);_(@_)"/>
    <numFmt numFmtId="167" formatCode="_(* #,##0_);_(* \(#,##0\);_(* &quot;-&quot;??_);_(@_)"/>
    <numFmt numFmtId="168" formatCode="_-* #,##0\ _₫_-;\-* #,##0\ _₫_-;_-* &quot;-&quot;??\ _₫_-;_-@_-"/>
    <numFmt numFmtId="169" formatCode="_(* #,##0.0000_);_(* \(#,##0.0000\);_(* &quot;-&quot;??_);_(@_)"/>
    <numFmt numFmtId="170" formatCode="0.000"/>
    <numFmt numFmtId="171" formatCode="#,##0.000"/>
  </numFmts>
  <fonts count="109" x14ac:knownFonts="1">
    <font>
      <sz val="14"/>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4"/>
      <color theme="1"/>
      <name val="Times New Roman"/>
      <family val="1"/>
    </font>
    <font>
      <b/>
      <sz val="14"/>
      <color theme="1"/>
      <name val="Times New Roman"/>
      <family val="1"/>
    </font>
    <font>
      <sz val="10"/>
      <name val="Arial"/>
      <family val="2"/>
    </font>
    <font>
      <sz val="14"/>
      <color theme="1"/>
      <name val="Calibri"/>
      <family val="2"/>
      <charset val="163"/>
      <scheme val="minor"/>
    </font>
    <font>
      <b/>
      <sz val="12"/>
      <color theme="1"/>
      <name val="Times New Roman"/>
      <family val="1"/>
    </font>
    <font>
      <b/>
      <i/>
      <sz val="14"/>
      <color theme="1"/>
      <name val="Times New Roman"/>
      <family val="1"/>
    </font>
    <font>
      <i/>
      <sz val="14"/>
      <color theme="1"/>
      <name val="Times New Roman"/>
      <family val="1"/>
    </font>
    <font>
      <i/>
      <sz val="13"/>
      <name val="Times New Roman"/>
      <family val="1"/>
      <charset val="163"/>
    </font>
    <font>
      <sz val="11"/>
      <color indexed="8"/>
      <name val="Calibri"/>
      <family val="2"/>
    </font>
    <font>
      <b/>
      <sz val="13"/>
      <color theme="1"/>
      <name val="Times New Roman"/>
      <family val="1"/>
    </font>
    <font>
      <b/>
      <sz val="10"/>
      <color theme="1"/>
      <name val="Times New Roman"/>
      <family val="1"/>
    </font>
    <font>
      <sz val="13"/>
      <color theme="1"/>
      <name val="Times New Roman"/>
      <family val="1"/>
    </font>
    <font>
      <sz val="13"/>
      <name val="Times New Roman"/>
      <family val="1"/>
    </font>
    <font>
      <sz val="11"/>
      <color theme="1"/>
      <name val="Calibri"/>
      <family val="2"/>
    </font>
    <font>
      <sz val="11"/>
      <color theme="1"/>
      <name val="Calibri"/>
      <family val="2"/>
      <charset val="163"/>
      <scheme val="minor"/>
    </font>
    <font>
      <i/>
      <sz val="13"/>
      <color theme="1"/>
      <name val="Times New Roman"/>
      <family val="1"/>
    </font>
    <font>
      <b/>
      <sz val="11"/>
      <color theme="1"/>
      <name val="Times New Roman"/>
      <family val="1"/>
    </font>
    <font>
      <b/>
      <sz val="11"/>
      <color theme="1"/>
      <name val="Times New Roman"/>
      <family val="1"/>
      <charset val="163"/>
    </font>
    <font>
      <sz val="11"/>
      <color theme="1"/>
      <name val="Times New Roman"/>
      <family val="1"/>
    </font>
    <font>
      <b/>
      <i/>
      <sz val="11"/>
      <color theme="1"/>
      <name val="Times New Roman"/>
      <family val="1"/>
    </font>
    <font>
      <sz val="11"/>
      <color indexed="8"/>
      <name val="Times New Roman"/>
      <family val="1"/>
    </font>
    <font>
      <b/>
      <sz val="13"/>
      <name val="Times New Roman"/>
      <family val="1"/>
    </font>
    <font>
      <i/>
      <sz val="13"/>
      <name val="Times New Roman"/>
      <family val="1"/>
    </font>
    <font>
      <sz val="13"/>
      <name val="Times New Roman"/>
      <family val="1"/>
      <charset val="163"/>
    </font>
    <font>
      <sz val="12"/>
      <color rgb="FF000000"/>
      <name val="Times New Roman"/>
      <family val="1"/>
      <charset val="163"/>
    </font>
    <font>
      <sz val="12"/>
      <color theme="1"/>
      <name val="Times New Roman"/>
      <family val="2"/>
      <charset val="163"/>
    </font>
    <font>
      <sz val="11"/>
      <color theme="1"/>
      <name val="Times New Roman"/>
      <family val="1"/>
      <charset val="163"/>
    </font>
    <font>
      <b/>
      <sz val="13"/>
      <name val="Times New Roman"/>
      <family val="1"/>
      <charset val="163"/>
    </font>
    <font>
      <sz val="11"/>
      <color rgb="FF000000"/>
      <name val="Times New Roman"/>
      <family val="1"/>
      <charset val="163"/>
    </font>
    <font>
      <b/>
      <sz val="11"/>
      <name val="Times New Roman"/>
      <family val="1"/>
    </font>
    <font>
      <b/>
      <sz val="11"/>
      <color theme="1"/>
      <name val="Calibri"/>
      <family val="2"/>
      <charset val="163"/>
      <scheme val="minor"/>
    </font>
    <font>
      <i/>
      <sz val="12"/>
      <color theme="1"/>
      <name val="Times New Roman"/>
      <family val="1"/>
    </font>
    <font>
      <sz val="12"/>
      <color theme="1"/>
      <name val="Times New Roman"/>
      <family val="1"/>
    </font>
    <font>
      <i/>
      <sz val="12"/>
      <name val="Times New Roman"/>
      <family val="1"/>
    </font>
    <font>
      <sz val="12"/>
      <name val="Times New Roman"/>
      <family val="1"/>
    </font>
    <font>
      <sz val="13"/>
      <color theme="1"/>
      <name val="Calibri Light"/>
      <family val="1"/>
      <charset val="163"/>
      <scheme val="major"/>
    </font>
    <font>
      <sz val="10"/>
      <name val="Times New Roman"/>
      <family val="1"/>
    </font>
    <font>
      <sz val="11"/>
      <color theme="1"/>
      <name val="Calibri Light"/>
      <family val="1"/>
      <charset val="163"/>
      <scheme val="major"/>
    </font>
    <font>
      <sz val="11"/>
      <name val="Times New Roman"/>
      <family val="1"/>
      <charset val="163"/>
    </font>
    <font>
      <b/>
      <sz val="11"/>
      <color theme="1"/>
      <name val="Calibri"/>
      <family val="2"/>
      <scheme val="minor"/>
    </font>
    <font>
      <b/>
      <sz val="14"/>
      <color rgb="FF000000"/>
      <name val="Times New Roman"/>
      <family val="1"/>
    </font>
    <font>
      <b/>
      <sz val="12"/>
      <color rgb="FF000000"/>
      <name val="Times New Roman"/>
      <family val="1"/>
    </font>
    <font>
      <b/>
      <i/>
      <sz val="12"/>
      <color rgb="FF000000"/>
      <name val="Times New Roman"/>
      <family val="1"/>
    </font>
    <font>
      <sz val="12"/>
      <color rgb="FF000000"/>
      <name val="Times New Roman"/>
      <family val="1"/>
    </font>
    <font>
      <i/>
      <sz val="11"/>
      <color theme="1"/>
      <name val="Times New Roman"/>
      <family val="1"/>
    </font>
    <font>
      <b/>
      <sz val="13"/>
      <color rgb="FF000000"/>
      <name val="Times New Roman"/>
      <family val="1"/>
    </font>
    <font>
      <sz val="14"/>
      <color rgb="FF000000"/>
      <name val="Times New Roman"/>
      <family val="1"/>
    </font>
    <font>
      <b/>
      <i/>
      <sz val="14"/>
      <color rgb="FF000000"/>
      <name val="Times New Roman"/>
      <family val="1"/>
    </font>
    <font>
      <b/>
      <sz val="12"/>
      <name val="Times New Roman"/>
      <family val="1"/>
    </font>
    <font>
      <i/>
      <sz val="12"/>
      <color rgb="FF000000"/>
      <name val="Times New Roman"/>
      <family val="1"/>
    </font>
    <font>
      <sz val="12"/>
      <color rgb="FFFF0000"/>
      <name val="Times New Roman"/>
      <family val="1"/>
    </font>
    <font>
      <sz val="11"/>
      <color rgb="FF000000"/>
      <name val="Times New Roman"/>
      <family val="1"/>
    </font>
    <font>
      <sz val="11"/>
      <color rgb="FFFF0000"/>
      <name val="Times New Roman"/>
      <family val="1"/>
    </font>
    <font>
      <sz val="11"/>
      <name val="Times New Roman"/>
      <family val="1"/>
    </font>
    <font>
      <sz val="11"/>
      <name val="Calibri"/>
      <family val="2"/>
      <scheme val="minor"/>
    </font>
    <font>
      <i/>
      <sz val="11"/>
      <name val="Times New Roman"/>
      <family val="1"/>
    </font>
    <font>
      <sz val="12"/>
      <name val="Times New Roman"/>
      <family val="1"/>
      <charset val="163"/>
    </font>
    <font>
      <b/>
      <sz val="14"/>
      <name val="Times New Roman"/>
      <family val="1"/>
      <charset val="163"/>
    </font>
    <font>
      <b/>
      <sz val="10"/>
      <name val="Times New Roman"/>
      <family val="1"/>
      <charset val="163"/>
    </font>
    <font>
      <sz val="10"/>
      <name val="Times New Roman"/>
      <family val="1"/>
      <charset val="163"/>
    </font>
    <font>
      <sz val="10"/>
      <color rgb="FF000000"/>
      <name val="Times New Roman"/>
      <family val="1"/>
      <charset val="163"/>
    </font>
    <font>
      <b/>
      <sz val="11"/>
      <name val="Times New Roman"/>
      <family val="1"/>
      <charset val="163"/>
    </font>
    <font>
      <b/>
      <sz val="11"/>
      <color rgb="FF000000"/>
      <name val="Times New Roman"/>
      <family val="1"/>
      <charset val="163"/>
    </font>
    <font>
      <b/>
      <sz val="11"/>
      <color rgb="FF000000"/>
      <name val="Times New Roman"/>
      <family val="1"/>
    </font>
    <font>
      <b/>
      <sz val="12"/>
      <name val="Times New Roman"/>
      <family val="1"/>
      <charset val="163"/>
    </font>
    <font>
      <sz val="14"/>
      <color theme="1"/>
      <name val="Calibri Light"/>
      <family val="1"/>
      <charset val="163"/>
      <scheme val="major"/>
    </font>
    <font>
      <b/>
      <sz val="14"/>
      <color theme="1"/>
      <name val="Calibri Light"/>
      <family val="1"/>
      <charset val="163"/>
      <scheme val="major"/>
    </font>
    <font>
      <b/>
      <u/>
      <sz val="14"/>
      <color theme="1"/>
      <name val="Times New Roman"/>
      <family val="1"/>
    </font>
    <font>
      <b/>
      <u/>
      <sz val="14"/>
      <color theme="1"/>
      <name val="Calibri Light"/>
      <family val="1"/>
      <charset val="163"/>
      <scheme val="major"/>
    </font>
    <font>
      <b/>
      <i/>
      <u/>
      <sz val="14"/>
      <color theme="1"/>
      <name val="Times New Roman"/>
      <family val="1"/>
    </font>
    <font>
      <b/>
      <i/>
      <sz val="13"/>
      <color theme="1"/>
      <name val="Times New Roman"/>
      <family val="1"/>
    </font>
    <font>
      <b/>
      <i/>
      <u/>
      <sz val="14"/>
      <color theme="1"/>
      <name val="Calibri Light"/>
      <family val="1"/>
      <charset val="163"/>
      <scheme val="major"/>
    </font>
    <font>
      <b/>
      <i/>
      <sz val="14"/>
      <color theme="1"/>
      <name val="Calibri Light"/>
      <family val="1"/>
      <charset val="163"/>
      <scheme val="major"/>
    </font>
    <font>
      <i/>
      <sz val="14"/>
      <color theme="1"/>
      <name val="Calibri Light"/>
      <family val="1"/>
      <charset val="163"/>
      <scheme val="major"/>
    </font>
    <font>
      <b/>
      <i/>
      <sz val="14"/>
      <color rgb="FFFF0000"/>
      <name val="Times New Roman"/>
      <family val="1"/>
    </font>
    <font>
      <sz val="14"/>
      <color rgb="FFFF0000"/>
      <name val="Times New Roman"/>
      <family val="1"/>
    </font>
    <font>
      <sz val="14"/>
      <color theme="1"/>
      <name val="Calibri"/>
      <family val="2"/>
    </font>
    <font>
      <sz val="13"/>
      <color indexed="8"/>
      <name val="Times New Roman"/>
      <family val="1"/>
    </font>
    <font>
      <sz val="13"/>
      <color indexed="8"/>
      <name val="Calibri Light"/>
      <family val="1"/>
      <scheme val="major"/>
    </font>
    <font>
      <sz val="13"/>
      <color rgb="FFFF0000"/>
      <name val="Times New Roman"/>
      <family val="1"/>
    </font>
    <font>
      <sz val="13"/>
      <color theme="1"/>
      <name val="Calibri Light"/>
      <family val="1"/>
      <scheme val="major"/>
    </font>
    <font>
      <sz val="11"/>
      <name val="Calibri"/>
      <family val="2"/>
    </font>
    <font>
      <sz val="11"/>
      <name val="Calibri"/>
      <family val="2"/>
      <charset val="163"/>
    </font>
    <font>
      <i/>
      <sz val="11"/>
      <color rgb="FF000000"/>
      <name val="Times New Roman"/>
      <family val="1"/>
    </font>
    <font>
      <b/>
      <sz val="11"/>
      <color rgb="FFFF0000"/>
      <name val="Times New Roman"/>
      <family val="1"/>
    </font>
    <font>
      <sz val="14"/>
      <name val="Calibri"/>
      <family val="2"/>
      <charset val="163"/>
      <scheme val="minor"/>
    </font>
    <font>
      <sz val="14"/>
      <name val="Times New Roman"/>
      <family val="2"/>
    </font>
    <font>
      <i/>
      <sz val="14"/>
      <name val="Times New Roman"/>
      <family val="2"/>
    </font>
    <font>
      <i/>
      <sz val="14"/>
      <name val="Calibri"/>
      <family val="2"/>
      <charset val="163"/>
      <scheme val="minor"/>
    </font>
    <font>
      <sz val="13"/>
      <name val="Calibri Light"/>
      <family val="1"/>
      <charset val="163"/>
      <scheme val="major"/>
    </font>
    <font>
      <sz val="13"/>
      <name val="Calibri"/>
      <family val="2"/>
      <charset val="163"/>
      <scheme val="minor"/>
    </font>
    <font>
      <sz val="13"/>
      <color theme="1"/>
      <name val="Calibri"/>
      <family val="2"/>
      <charset val="163"/>
      <scheme val="minor"/>
    </font>
    <font>
      <b/>
      <sz val="13"/>
      <color theme="1"/>
      <name val="Calibri"/>
      <family val="2"/>
      <charset val="163"/>
      <scheme val="minor"/>
    </font>
    <font>
      <i/>
      <sz val="13"/>
      <color theme="1"/>
      <name val="Calibri"/>
      <family val="2"/>
      <charset val="163"/>
      <scheme val="minor"/>
    </font>
    <font>
      <sz val="13"/>
      <name val="Times New Roman"/>
      <family val="2"/>
    </font>
    <font>
      <b/>
      <sz val="14"/>
      <name val="Times New Roman"/>
      <family val="1"/>
    </font>
    <font>
      <sz val="14"/>
      <name val="Times New Roman"/>
      <family val="1"/>
    </font>
    <font>
      <i/>
      <sz val="14"/>
      <name val="Times New Roman"/>
      <family val="1"/>
    </font>
    <font>
      <b/>
      <i/>
      <sz val="14"/>
      <name val="Times New Roman"/>
      <family val="1"/>
    </font>
    <font>
      <b/>
      <sz val="10"/>
      <name val="Times New Roman"/>
      <family val="1"/>
    </font>
    <font>
      <sz val="11"/>
      <name val="Calibri"/>
      <family val="2"/>
      <charset val="163"/>
      <scheme val="minor"/>
    </font>
    <font>
      <i/>
      <sz val="11"/>
      <name val="Times New Roman"/>
      <family val="1"/>
      <charset val="163"/>
    </font>
    <font>
      <sz val="11"/>
      <name val="Calibri Light"/>
      <family val="1"/>
      <charset val="163"/>
      <scheme val="major"/>
    </font>
    <font>
      <b/>
      <i/>
      <sz val="12"/>
      <name val="Times New Roman"/>
      <family val="1"/>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FF"/>
        <bgColor rgb="FFFFFFFF"/>
      </patternFill>
    </fill>
    <fill>
      <patternFill patternType="solid">
        <fgColor theme="0"/>
        <bgColor rgb="FFFFFFFF"/>
      </patternFill>
    </fill>
    <fill>
      <patternFill patternType="solid">
        <fgColor theme="9" tint="0.79998168889431442"/>
        <bgColor rgb="FFFFFFFF"/>
      </patternFill>
    </fill>
    <fill>
      <patternFill patternType="solid">
        <fgColor rgb="FFFFFF00"/>
        <bgColor rgb="FFFFFF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1"/>
      </left>
      <right style="thin">
        <color theme="1"/>
      </right>
      <top style="thin">
        <color theme="1"/>
      </top>
      <bottom style="thin">
        <color theme="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theme="1" tint="0.499984740745262"/>
      </left>
      <right style="thin">
        <color theme="1" tint="0.499984740745262"/>
      </right>
      <top style="thin">
        <color theme="1"/>
      </top>
      <bottom style="thin">
        <color theme="1" tint="0.499984740745262"/>
      </bottom>
      <diagonal/>
    </border>
    <border>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hair">
        <color indexed="64"/>
      </bottom>
      <diagonal/>
    </border>
    <border>
      <left/>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27">
    <xf numFmtId="0" fontId="0" fillId="0" borderId="0"/>
    <xf numFmtId="0" fontId="7" fillId="0" borderId="0"/>
    <xf numFmtId="0" fontId="8" fillId="0" borderId="0"/>
    <xf numFmtId="0" fontId="7" fillId="0" borderId="0"/>
    <xf numFmtId="164" fontId="8" fillId="0" borderId="0" applyFont="0" applyFill="0" applyBorder="0" applyAlignment="0" applyProtection="0"/>
    <xf numFmtId="0" fontId="7" fillId="0" borderId="0"/>
    <xf numFmtId="166" fontId="13" fillId="0" borderId="0" applyFont="0" applyFill="0" applyBorder="0" applyAlignment="0" applyProtection="0"/>
    <xf numFmtId="0" fontId="8" fillId="0" borderId="0"/>
    <xf numFmtId="0" fontId="8" fillId="0" borderId="0"/>
    <xf numFmtId="0" fontId="4" fillId="0" borderId="0"/>
    <xf numFmtId="43" fontId="29" fillId="0" borderId="0" applyFont="0" applyFill="0" applyBorder="0" applyAlignment="0" applyProtection="0"/>
    <xf numFmtId="0" fontId="30" fillId="0" borderId="0"/>
    <xf numFmtId="0" fontId="8" fillId="0" borderId="0"/>
    <xf numFmtId="0" fontId="19" fillId="0" borderId="0"/>
    <xf numFmtId="166" fontId="4" fillId="0" borderId="0" applyFont="0" applyFill="0" applyBorder="0" applyAlignment="0" applyProtection="0"/>
    <xf numFmtId="0" fontId="18" fillId="0" borderId="0"/>
    <xf numFmtId="166" fontId="13" fillId="0" borderId="0" applyFont="0" applyFill="0" applyBorder="0" applyAlignment="0" applyProtection="0"/>
    <xf numFmtId="166" fontId="4" fillId="0" borderId="0" applyFont="0" applyFill="0" applyBorder="0" applyAlignment="0" applyProtection="0"/>
    <xf numFmtId="9" fontId="8"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9"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976">
    <xf numFmtId="0" fontId="0" fillId="0" borderId="0" xfId="0"/>
    <xf numFmtId="49" fontId="21" fillId="0" borderId="0" xfId="6" applyNumberFormat="1" applyFont="1" applyAlignment="1">
      <alignment horizontal="center" vertical="center" wrapText="1"/>
    </xf>
    <xf numFmtId="43" fontId="16" fillId="0" borderId="0" xfId="6" applyNumberFormat="1" applyFont="1" applyAlignment="1">
      <alignment horizontal="center"/>
    </xf>
    <xf numFmtId="0" fontId="17" fillId="0" borderId="0" xfId="3" applyFont="1"/>
    <xf numFmtId="0" fontId="27" fillId="0" borderId="0" xfId="3" applyFont="1" applyAlignment="1">
      <alignment horizontal="center" vertical="center"/>
    </xf>
    <xf numFmtId="0" fontId="26" fillId="0" borderId="2" xfId="3" applyFont="1" applyBorder="1" applyAlignment="1">
      <alignment horizontal="center" vertical="center" wrapText="1"/>
    </xf>
    <xf numFmtId="0" fontId="26" fillId="0" borderId="1" xfId="3" applyFont="1" applyBorder="1" applyAlignment="1">
      <alignment horizontal="center" vertical="center" wrapText="1"/>
    </xf>
    <xf numFmtId="3" fontId="26" fillId="0" borderId="2" xfId="3" applyNumberFormat="1" applyFont="1" applyBorder="1" applyAlignment="1">
      <alignment horizontal="right" vertical="center" wrapText="1"/>
    </xf>
    <xf numFmtId="0" fontId="17" fillId="0" borderId="1" xfId="3" applyFont="1" applyBorder="1" applyAlignment="1">
      <alignment horizontal="center" vertical="center"/>
    </xf>
    <xf numFmtId="3" fontId="17" fillId="0" borderId="2" xfId="3" applyNumberFormat="1" applyFont="1" applyBorder="1" applyAlignment="1">
      <alignment horizontal="right" vertical="center" wrapText="1"/>
    </xf>
    <xf numFmtId="0" fontId="17" fillId="0" borderId="1" xfId="3" applyFont="1" applyBorder="1" applyAlignment="1">
      <alignment vertical="center" wrapText="1"/>
    </xf>
    <xf numFmtId="0" fontId="17" fillId="0" borderId="1" xfId="3" applyFont="1" applyBorder="1" applyAlignment="1">
      <alignment horizontal="center" vertical="center" wrapText="1"/>
    </xf>
    <xf numFmtId="0" fontId="17" fillId="0" borderId="1" xfId="3" applyFont="1" applyBorder="1"/>
    <xf numFmtId="0" fontId="17" fillId="0" borderId="1" xfId="3" applyFont="1" applyBorder="1" applyAlignment="1">
      <alignment horizontal="left" vertical="center" wrapText="1"/>
    </xf>
    <xf numFmtId="0" fontId="27" fillId="0" borderId="1" xfId="3" applyFont="1" applyBorder="1" applyAlignment="1">
      <alignment horizontal="center" vertical="center" wrapText="1"/>
    </xf>
    <xf numFmtId="0" fontId="27" fillId="0" borderId="1" xfId="3" applyFont="1" applyBorder="1" applyAlignment="1">
      <alignment vertical="center" wrapText="1"/>
    </xf>
    <xf numFmtId="3" fontId="27" fillId="0" borderId="2" xfId="3" applyNumberFormat="1" applyFont="1" applyBorder="1" applyAlignment="1">
      <alignment horizontal="right" vertical="center" wrapText="1"/>
    </xf>
    <xf numFmtId="0" fontId="27" fillId="0" borderId="0" xfId="3" applyFont="1"/>
    <xf numFmtId="0" fontId="27" fillId="0" borderId="1" xfId="3" applyFont="1" applyBorder="1" applyAlignment="1">
      <alignment horizontal="left" vertical="center" wrapText="1"/>
    </xf>
    <xf numFmtId="3" fontId="17" fillId="0" borderId="1" xfId="3" applyNumberFormat="1" applyFont="1" applyBorder="1" applyAlignment="1">
      <alignment horizontal="right" vertical="center" wrapText="1"/>
    </xf>
    <xf numFmtId="3" fontId="16" fillId="0" borderId="0" xfId="15" applyNumberFormat="1" applyFont="1"/>
    <xf numFmtId="0" fontId="16" fillId="0" borderId="0" xfId="15" applyFont="1"/>
    <xf numFmtId="0" fontId="14" fillId="0" borderId="0" xfId="15" applyFont="1"/>
    <xf numFmtId="0" fontId="20" fillId="0" borderId="0" xfId="15" applyFont="1" applyAlignment="1">
      <alignment horizontal="center" vertical="center" wrapText="1"/>
    </xf>
    <xf numFmtId="0" fontId="20" fillId="0" borderId="0" xfId="15" applyFont="1" applyAlignment="1">
      <alignment horizontal="center" wrapText="1"/>
    </xf>
    <xf numFmtId="0" fontId="23" fillId="0" borderId="0" xfId="15" applyFont="1" applyAlignment="1">
      <alignment horizontal="center"/>
    </xf>
    <xf numFmtId="0" fontId="21" fillId="0" borderId="0" xfId="15" applyFont="1" applyAlignment="1">
      <alignment horizontal="center" vertical="center" wrapText="1"/>
    </xf>
    <xf numFmtId="0" fontId="21" fillId="0" borderId="0" xfId="15" applyFont="1" applyAlignment="1">
      <alignment horizontal="left" vertical="center"/>
    </xf>
    <xf numFmtId="0" fontId="23" fillId="0" borderId="0" xfId="15" applyFont="1" applyAlignment="1">
      <alignment horizontal="left" vertical="center"/>
    </xf>
    <xf numFmtId="0" fontId="24" fillId="0" borderId="0" xfId="15" applyFont="1" applyAlignment="1">
      <alignment horizontal="left" vertical="center"/>
    </xf>
    <xf numFmtId="0" fontId="23" fillId="0" borderId="0" xfId="15" applyFont="1" applyAlignment="1">
      <alignment horizontal="center" vertical="center"/>
    </xf>
    <xf numFmtId="0" fontId="23" fillId="0" borderId="0" xfId="15" applyFont="1"/>
    <xf numFmtId="0" fontId="20" fillId="0" borderId="0" xfId="15" quotePrefix="1" applyFont="1" applyAlignment="1">
      <alignment horizontal="left" vertical="center"/>
    </xf>
    <xf numFmtId="0" fontId="16" fillId="0" borderId="0" xfId="15" applyFont="1" applyAlignment="1">
      <alignment horizontal="center" vertical="center"/>
    </xf>
    <xf numFmtId="0" fontId="16" fillId="0" borderId="0" xfId="15" applyFont="1" applyAlignment="1">
      <alignment wrapText="1"/>
    </xf>
    <xf numFmtId="3" fontId="17" fillId="0" borderId="2" xfId="1" applyNumberFormat="1" applyFont="1" applyBorder="1" applyAlignment="1">
      <alignment horizontal="right" vertical="center" wrapText="1"/>
    </xf>
    <xf numFmtId="3" fontId="17" fillId="0" borderId="1" xfId="1" applyNumberFormat="1" applyFont="1" applyBorder="1" applyAlignment="1">
      <alignment vertical="center"/>
    </xf>
    <xf numFmtId="0" fontId="17" fillId="0" borderId="1" xfId="1" applyFont="1" applyBorder="1" applyAlignment="1">
      <alignment vertical="center"/>
    </xf>
    <xf numFmtId="3" fontId="17" fillId="0" borderId="2" xfId="1" applyNumberFormat="1" applyFont="1" applyBorder="1" applyAlignment="1">
      <alignment vertical="center"/>
    </xf>
    <xf numFmtId="3" fontId="17" fillId="0" borderId="1" xfId="1" applyNumberFormat="1" applyFont="1" applyBorder="1" applyAlignment="1">
      <alignment horizontal="right" vertical="center" wrapText="1"/>
    </xf>
    <xf numFmtId="0" fontId="17" fillId="0" borderId="1" xfId="1" applyFont="1" applyBorder="1" applyAlignment="1">
      <alignment horizontal="left" vertical="center" wrapText="1"/>
    </xf>
    <xf numFmtId="0" fontId="27" fillId="0" borderId="1" xfId="1" applyFont="1" applyBorder="1" applyAlignment="1">
      <alignment horizontal="left" vertical="center" wrapText="1"/>
    </xf>
    <xf numFmtId="3" fontId="27" fillId="0" borderId="2" xfId="1" applyNumberFormat="1" applyFont="1" applyBorder="1" applyAlignment="1">
      <alignment horizontal="right" vertical="center" wrapText="1"/>
    </xf>
    <xf numFmtId="0" fontId="17" fillId="0" borderId="2" xfId="1" applyFont="1" applyBorder="1" applyAlignment="1">
      <alignment vertical="center"/>
    </xf>
    <xf numFmtId="0" fontId="17" fillId="0" borderId="1" xfId="1" applyFont="1" applyBorder="1" applyAlignment="1">
      <alignment horizontal="center" vertical="center"/>
    </xf>
    <xf numFmtId="3" fontId="27" fillId="0" borderId="1" xfId="3" applyNumberFormat="1" applyFont="1" applyBorder="1" applyAlignment="1">
      <alignment horizontal="right" vertical="center" wrapText="1"/>
    </xf>
    <xf numFmtId="3" fontId="27" fillId="0" borderId="1" xfId="1" applyNumberFormat="1" applyFont="1" applyBorder="1" applyAlignment="1">
      <alignment horizontal="right" vertical="center" wrapText="1"/>
    </xf>
    <xf numFmtId="0" fontId="16" fillId="0" borderId="0" xfId="15" applyFont="1" applyAlignment="1">
      <alignment horizontal="center"/>
    </xf>
    <xf numFmtId="0" fontId="17" fillId="2" borderId="1" xfId="3" applyFont="1" applyFill="1" applyBorder="1" applyAlignment="1">
      <alignment vertical="center" wrapText="1"/>
    </xf>
    <xf numFmtId="0" fontId="17" fillId="2" borderId="1" xfId="3" applyFont="1" applyFill="1" applyBorder="1" applyAlignment="1">
      <alignment horizontal="center" vertical="center" wrapText="1"/>
    </xf>
    <xf numFmtId="3" fontId="16" fillId="0" borderId="0" xfId="15" applyNumberFormat="1" applyFont="1" applyAlignment="1">
      <alignment horizontal="center"/>
    </xf>
    <xf numFmtId="43" fontId="23" fillId="0" borderId="0" xfId="6" applyNumberFormat="1" applyFont="1" applyAlignment="1">
      <alignment horizontal="center"/>
    </xf>
    <xf numFmtId="3" fontId="23" fillId="0" borderId="0" xfId="15" applyNumberFormat="1" applyFont="1" applyAlignment="1">
      <alignment horizontal="center"/>
    </xf>
    <xf numFmtId="43" fontId="16" fillId="0" borderId="0" xfId="6" applyNumberFormat="1" applyFont="1"/>
    <xf numFmtId="43" fontId="23" fillId="0" borderId="0" xfId="6" applyNumberFormat="1" applyFont="1"/>
    <xf numFmtId="0" fontId="12" fillId="0" borderId="1" xfId="1" applyFont="1" applyBorder="1" applyAlignment="1">
      <alignment horizontal="left" vertical="center" wrapText="1"/>
    </xf>
    <xf numFmtId="0" fontId="28" fillId="0" borderId="1" xfId="1" applyFont="1" applyBorder="1" applyAlignment="1">
      <alignment horizontal="center" vertical="center"/>
    </xf>
    <xf numFmtId="3" fontId="28" fillId="0" borderId="2" xfId="1" applyNumberFormat="1" applyFont="1" applyBorder="1" applyAlignment="1">
      <alignment horizontal="right" vertical="center" wrapText="1"/>
    </xf>
    <xf numFmtId="0" fontId="26" fillId="2" borderId="1" xfId="3" applyFont="1" applyFill="1" applyBorder="1" applyAlignment="1">
      <alignment vertical="center" wrapText="1"/>
    </xf>
    <xf numFmtId="0" fontId="26" fillId="0" borderId="0" xfId="3" applyFont="1"/>
    <xf numFmtId="0" fontId="26" fillId="0" borderId="1" xfId="3" applyFont="1" applyBorder="1" applyAlignment="1">
      <alignment vertical="center" wrapText="1"/>
    </xf>
    <xf numFmtId="0" fontId="26" fillId="0" borderId="0" xfId="3" applyFont="1" applyAlignment="1">
      <alignment vertical="center"/>
    </xf>
    <xf numFmtId="3" fontId="17" fillId="2" borderId="2" xfId="3" applyNumberFormat="1" applyFont="1" applyFill="1" applyBorder="1" applyAlignment="1">
      <alignment horizontal="right" vertical="center" wrapText="1"/>
    </xf>
    <xf numFmtId="0" fontId="17" fillId="2" borderId="0" xfId="3" applyFont="1" applyFill="1"/>
    <xf numFmtId="3" fontId="27" fillId="2" borderId="2" xfId="3" applyNumberFormat="1" applyFont="1" applyFill="1" applyBorder="1" applyAlignment="1">
      <alignment horizontal="right" vertical="center" wrapText="1"/>
    </xf>
    <xf numFmtId="0" fontId="17" fillId="2" borderId="1" xfId="3" applyFont="1" applyFill="1" applyBorder="1" applyAlignment="1">
      <alignment horizontal="center" vertical="center"/>
    </xf>
    <xf numFmtId="168" fontId="17" fillId="2" borderId="2" xfId="4" applyNumberFormat="1" applyFont="1" applyFill="1" applyBorder="1" applyAlignment="1">
      <alignment horizontal="right" vertical="center" wrapText="1"/>
    </xf>
    <xf numFmtId="168" fontId="17" fillId="2" borderId="1" xfId="4" applyNumberFormat="1" applyFont="1" applyFill="1" applyBorder="1"/>
    <xf numFmtId="3" fontId="28" fillId="2" borderId="2" xfId="3" applyNumberFormat="1" applyFont="1" applyFill="1" applyBorder="1" applyAlignment="1">
      <alignment horizontal="right" vertical="center" wrapText="1"/>
    </xf>
    <xf numFmtId="168" fontId="19" fillId="0" borderId="0" xfId="4" applyNumberFormat="1" applyFont="1" applyAlignment="1">
      <alignment vertical="center"/>
    </xf>
    <xf numFmtId="168" fontId="23" fillId="0" borderId="0" xfId="4" applyNumberFormat="1" applyFont="1" applyAlignment="1">
      <alignment horizontal="center" vertical="center"/>
    </xf>
    <xf numFmtId="168" fontId="23" fillId="0" borderId="0" xfId="4" applyNumberFormat="1" applyFont="1" applyAlignment="1">
      <alignment vertical="center" wrapText="1"/>
    </xf>
    <xf numFmtId="168" fontId="23" fillId="0" borderId="0" xfId="4" applyNumberFormat="1" applyFont="1" applyAlignment="1">
      <alignment vertical="center"/>
    </xf>
    <xf numFmtId="168" fontId="34" fillId="0" borderId="1" xfId="4" applyNumberFormat="1" applyFont="1" applyBorder="1" applyAlignment="1">
      <alignment horizontal="center" vertical="center" wrapText="1"/>
    </xf>
    <xf numFmtId="168" fontId="19" fillId="0" borderId="0" xfId="4" applyNumberFormat="1" applyFont="1" applyAlignment="1">
      <alignment horizontal="center" vertical="center"/>
    </xf>
    <xf numFmtId="0" fontId="23" fillId="0" borderId="1" xfId="0" applyFont="1" applyBorder="1" applyAlignment="1">
      <alignment horizontal="center" vertical="center" wrapText="1"/>
    </xf>
    <xf numFmtId="0" fontId="19" fillId="0" borderId="0" xfId="0" applyFont="1"/>
    <xf numFmtId="0" fontId="35" fillId="0" borderId="0" xfId="0" applyFont="1"/>
    <xf numFmtId="0" fontId="19" fillId="0" borderId="0" xfId="0" applyFont="1" applyAlignment="1">
      <alignment wrapText="1"/>
    </xf>
    <xf numFmtId="0" fontId="19" fillId="0" borderId="0" xfId="0" applyFont="1" applyAlignment="1">
      <alignment vertical="center"/>
    </xf>
    <xf numFmtId="49" fontId="27" fillId="2" borderId="1" xfId="9" applyNumberFormat="1" applyFont="1" applyFill="1" applyBorder="1" applyAlignment="1">
      <alignment horizontal="left" vertical="center" wrapText="1"/>
    </xf>
    <xf numFmtId="168" fontId="12" fillId="2" borderId="2" xfId="4" applyNumberFormat="1" applyFont="1" applyFill="1" applyBorder="1" applyAlignment="1">
      <alignment horizontal="right" vertical="center" wrapText="1"/>
    </xf>
    <xf numFmtId="3" fontId="12" fillId="2" borderId="2" xfId="3" applyNumberFormat="1" applyFont="1" applyFill="1" applyBorder="1" applyAlignment="1">
      <alignment horizontal="right" vertical="center" wrapText="1"/>
    </xf>
    <xf numFmtId="0" fontId="27" fillId="2" borderId="1" xfId="9" applyFont="1" applyFill="1" applyBorder="1" applyAlignment="1">
      <alignment horizontal="left" vertical="center" wrapText="1"/>
    </xf>
    <xf numFmtId="49" fontId="12" fillId="2" borderId="1" xfId="9" applyNumberFormat="1" applyFont="1" applyFill="1" applyBorder="1" applyAlignment="1">
      <alignment horizontal="left" vertical="center" wrapText="1"/>
    </xf>
    <xf numFmtId="168" fontId="12" fillId="2" borderId="2" xfId="4" applyNumberFormat="1" applyFont="1" applyFill="1" applyBorder="1" applyAlignment="1">
      <alignment vertical="center"/>
    </xf>
    <xf numFmtId="167" fontId="12" fillId="2" borderId="2" xfId="3" applyNumberFormat="1" applyFont="1" applyFill="1" applyBorder="1" applyAlignment="1">
      <alignment vertical="center"/>
    </xf>
    <xf numFmtId="0" fontId="12" fillId="2" borderId="2" xfId="3" applyFont="1" applyFill="1" applyBorder="1"/>
    <xf numFmtId="0" fontId="12" fillId="2" borderId="1" xfId="3" applyFont="1" applyFill="1" applyBorder="1" applyAlignment="1">
      <alignment vertical="center" wrapText="1"/>
    </xf>
    <xf numFmtId="0" fontId="17" fillId="2" borderId="1" xfId="1" applyFont="1" applyFill="1" applyBorder="1" applyAlignment="1">
      <alignment horizontal="center" vertical="center"/>
    </xf>
    <xf numFmtId="0" fontId="17" fillId="2" borderId="1" xfId="1" applyFont="1" applyFill="1" applyBorder="1" applyAlignment="1">
      <alignment horizontal="left" vertical="center" wrapText="1"/>
    </xf>
    <xf numFmtId="3" fontId="17" fillId="2" borderId="2" xfId="1" applyNumberFormat="1" applyFont="1" applyFill="1" applyBorder="1" applyAlignment="1">
      <alignment horizontal="right" vertical="center" wrapText="1"/>
    </xf>
    <xf numFmtId="0" fontId="27" fillId="2" borderId="1" xfId="1" applyFont="1" applyFill="1" applyBorder="1" applyAlignment="1">
      <alignment horizontal="left" vertical="center" wrapText="1"/>
    </xf>
    <xf numFmtId="3" fontId="27" fillId="2" borderId="2" xfId="1" applyNumberFormat="1" applyFont="1" applyFill="1" applyBorder="1" applyAlignment="1">
      <alignment horizontal="right" vertical="center" wrapText="1"/>
    </xf>
    <xf numFmtId="0" fontId="27" fillId="2" borderId="4" xfId="1" applyFont="1" applyFill="1" applyBorder="1" applyAlignment="1">
      <alignment horizontal="left" vertical="center" wrapText="1"/>
    </xf>
    <xf numFmtId="3" fontId="27" fillId="2" borderId="1" xfId="1" applyNumberFormat="1" applyFont="1" applyFill="1" applyBorder="1" applyAlignment="1">
      <alignment horizontal="right" vertical="center" wrapText="1"/>
    </xf>
    <xf numFmtId="3" fontId="17" fillId="2" borderId="1" xfId="1" applyNumberFormat="1" applyFont="1" applyFill="1" applyBorder="1" applyAlignment="1">
      <alignment horizontal="right" vertical="center" wrapText="1"/>
    </xf>
    <xf numFmtId="0" fontId="27" fillId="2" borderId="1" xfId="3" applyFont="1" applyFill="1" applyBorder="1" applyAlignment="1">
      <alignment horizontal="center" vertical="center" wrapText="1"/>
    </xf>
    <xf numFmtId="0" fontId="27" fillId="2" borderId="1" xfId="3" applyFont="1" applyFill="1" applyBorder="1" applyAlignment="1">
      <alignment vertical="center" wrapText="1"/>
    </xf>
    <xf numFmtId="0" fontId="27" fillId="2" borderId="0" xfId="3" applyFont="1" applyFill="1"/>
    <xf numFmtId="168" fontId="27" fillId="2" borderId="2" xfId="4" applyNumberFormat="1" applyFont="1" applyFill="1" applyBorder="1" applyAlignment="1">
      <alignment horizontal="right" vertical="center" wrapText="1"/>
    </xf>
    <xf numFmtId="0" fontId="27" fillId="2" borderId="1" xfId="3" applyFont="1" applyFill="1" applyBorder="1" applyAlignment="1">
      <alignment horizontal="center" vertical="center"/>
    </xf>
    <xf numFmtId="49" fontId="17" fillId="2" borderId="1" xfId="9" applyNumberFormat="1" applyFont="1" applyFill="1" applyBorder="1" applyAlignment="1">
      <alignment horizontal="left" vertical="center" wrapText="1"/>
    </xf>
    <xf numFmtId="168" fontId="17" fillId="2" borderId="2" xfId="4" applyNumberFormat="1" applyFont="1" applyFill="1" applyBorder="1" applyAlignment="1">
      <alignment vertical="center"/>
    </xf>
    <xf numFmtId="0" fontId="26" fillId="2" borderId="1" xfId="3" applyFont="1" applyFill="1" applyBorder="1" applyAlignment="1">
      <alignment horizontal="center" vertical="center" wrapText="1"/>
    </xf>
    <xf numFmtId="168" fontId="26" fillId="2" borderId="2" xfId="4" applyNumberFormat="1" applyFont="1" applyFill="1" applyBorder="1" applyAlignment="1">
      <alignment horizontal="right" vertical="center" wrapText="1"/>
    </xf>
    <xf numFmtId="0" fontId="26" fillId="2" borderId="1" xfId="3" applyFont="1" applyFill="1" applyBorder="1" applyAlignment="1">
      <alignment horizontal="center" vertical="center"/>
    </xf>
    <xf numFmtId="0" fontId="26" fillId="2" borderId="0" xfId="3" applyFont="1" applyFill="1"/>
    <xf numFmtId="3" fontId="27" fillId="2" borderId="1" xfId="3" applyNumberFormat="1" applyFont="1" applyFill="1" applyBorder="1" applyAlignment="1">
      <alignment horizontal="right" vertical="center" wrapText="1"/>
    </xf>
    <xf numFmtId="0" fontId="37" fillId="0" borderId="0" xfId="8" applyFont="1"/>
    <xf numFmtId="3" fontId="37" fillId="0" borderId="0" xfId="8" applyNumberFormat="1" applyFont="1"/>
    <xf numFmtId="0" fontId="37" fillId="0" borderId="0" xfId="8" applyFont="1" applyAlignment="1">
      <alignment horizontal="center"/>
    </xf>
    <xf numFmtId="168" fontId="37" fillId="0" borderId="0" xfId="4" applyNumberFormat="1" applyFont="1"/>
    <xf numFmtId="0" fontId="38" fillId="0" borderId="0" xfId="3" applyFont="1" applyAlignment="1">
      <alignment horizontal="center" vertical="center"/>
    </xf>
    <xf numFmtId="0" fontId="9" fillId="0" borderId="0" xfId="8" applyFont="1" applyAlignment="1">
      <alignment horizontal="center" vertical="center"/>
    </xf>
    <xf numFmtId="168" fontId="9" fillId="0" borderId="0" xfId="4" applyNumberFormat="1" applyFont="1" applyAlignment="1">
      <alignment horizontal="center" vertical="center"/>
    </xf>
    <xf numFmtId="0" fontId="37" fillId="0" borderId="0" xfId="8" applyFont="1" applyAlignment="1">
      <alignment horizontal="center" vertical="center"/>
    </xf>
    <xf numFmtId="168" fontId="37" fillId="0" borderId="0" xfId="4" applyNumberFormat="1" applyFont="1" applyAlignment="1">
      <alignment horizontal="center" vertical="center"/>
    </xf>
    <xf numFmtId="0" fontId="9" fillId="0" borderId="0" xfId="8" applyFont="1" applyAlignment="1">
      <alignment vertical="center"/>
    </xf>
    <xf numFmtId="168" fontId="9" fillId="0" borderId="0" xfId="4" applyNumberFormat="1" applyFont="1" applyAlignment="1">
      <alignment vertical="center"/>
    </xf>
    <xf numFmtId="3" fontId="39" fillId="0" borderId="1" xfId="3" applyNumberFormat="1" applyFont="1" applyBorder="1" applyAlignment="1">
      <alignment vertical="center"/>
    </xf>
    <xf numFmtId="0" fontId="37" fillId="0" borderId="0" xfId="8" applyFont="1" applyAlignment="1">
      <alignment vertical="center"/>
    </xf>
    <xf numFmtId="168" fontId="37" fillId="0" borderId="0" xfId="4" applyNumberFormat="1" applyFont="1" applyAlignment="1">
      <alignment vertical="center"/>
    </xf>
    <xf numFmtId="3" fontId="39" fillId="0" borderId="1" xfId="1" applyNumberFormat="1" applyFont="1" applyBorder="1" applyAlignment="1">
      <alignment vertical="center"/>
    </xf>
    <xf numFmtId="0" fontId="9" fillId="0" borderId="0" xfId="0" applyFont="1" applyAlignment="1">
      <alignment vertical="center"/>
    </xf>
    <xf numFmtId="0" fontId="28" fillId="2" borderId="1" xfId="3" applyFont="1" applyFill="1" applyBorder="1" applyAlignment="1">
      <alignment horizontal="center" vertical="center" wrapText="1"/>
    </xf>
    <xf numFmtId="0" fontId="28" fillId="2" borderId="1" xfId="3" applyFont="1" applyFill="1" applyBorder="1" applyAlignment="1">
      <alignment vertical="center" wrapText="1"/>
    </xf>
    <xf numFmtId="168" fontId="28" fillId="2" borderId="2" xfId="4" applyNumberFormat="1" applyFont="1" applyFill="1" applyBorder="1" applyAlignment="1">
      <alignment vertical="center"/>
    </xf>
    <xf numFmtId="0" fontId="28" fillId="2" borderId="1" xfId="3" applyFont="1" applyFill="1" applyBorder="1" applyAlignment="1">
      <alignment horizontal="center" vertical="center"/>
    </xf>
    <xf numFmtId="0" fontId="28" fillId="2" borderId="0" xfId="3" applyFont="1" applyFill="1"/>
    <xf numFmtId="168" fontId="17" fillId="2" borderId="1" xfId="4" applyNumberFormat="1" applyFont="1" applyFill="1" applyBorder="1" applyAlignment="1">
      <alignment vertical="center"/>
    </xf>
    <xf numFmtId="168" fontId="27" fillId="2" borderId="1" xfId="4" applyNumberFormat="1" applyFont="1" applyFill="1" applyBorder="1" applyAlignment="1">
      <alignment vertical="center"/>
    </xf>
    <xf numFmtId="0" fontId="12" fillId="2" borderId="1" xfId="1" applyFont="1" applyFill="1" applyBorder="1" applyAlignment="1">
      <alignment horizontal="left" vertical="center" wrapText="1"/>
    </xf>
    <xf numFmtId="3" fontId="41" fillId="0" borderId="1" xfId="3" applyNumberFormat="1" applyFont="1" applyBorder="1" applyAlignment="1">
      <alignment vertical="center"/>
    </xf>
    <xf numFmtId="0" fontId="26" fillId="3" borderId="1" xfId="3" applyFont="1" applyFill="1" applyBorder="1" applyAlignment="1">
      <alignment horizontal="center" vertical="center" wrapText="1"/>
    </xf>
    <xf numFmtId="0" fontId="26" fillId="4" borderId="1" xfId="3" applyFont="1" applyFill="1" applyBorder="1" applyAlignment="1">
      <alignment horizontal="center" vertical="center" wrapText="1"/>
    </xf>
    <xf numFmtId="0" fontId="26" fillId="3" borderId="1" xfId="3" applyFont="1" applyFill="1" applyBorder="1" applyAlignment="1">
      <alignment vertical="center" wrapText="1"/>
    </xf>
    <xf numFmtId="0" fontId="32" fillId="3" borderId="1" xfId="3" applyFont="1" applyFill="1" applyBorder="1" applyAlignment="1">
      <alignment horizontal="center" vertical="center" wrapText="1"/>
    </xf>
    <xf numFmtId="0" fontId="32" fillId="3" borderId="1" xfId="3" applyFont="1" applyFill="1" applyBorder="1" applyAlignment="1">
      <alignment vertical="center" wrapText="1"/>
    </xf>
    <xf numFmtId="3" fontId="32" fillId="3" borderId="2" xfId="1" applyNumberFormat="1" applyFont="1" applyFill="1" applyBorder="1" applyAlignment="1">
      <alignment horizontal="right" vertical="center" wrapText="1"/>
    </xf>
    <xf numFmtId="0" fontId="26" fillId="4" borderId="2" xfId="1" applyFont="1" applyFill="1" applyBorder="1" applyAlignment="1">
      <alignment horizontal="center" vertical="center" wrapText="1"/>
    </xf>
    <xf numFmtId="0" fontId="26" fillId="4" borderId="2" xfId="1" applyFont="1" applyFill="1" applyBorder="1" applyAlignment="1">
      <alignment horizontal="left" vertical="center" wrapText="1"/>
    </xf>
    <xf numFmtId="3" fontId="26" fillId="4" borderId="2" xfId="1" applyNumberFormat="1" applyFont="1" applyFill="1" applyBorder="1" applyAlignment="1">
      <alignment horizontal="right" vertical="center" wrapText="1"/>
    </xf>
    <xf numFmtId="3" fontId="26" fillId="3" borderId="2" xfId="3" applyNumberFormat="1" applyFont="1" applyFill="1" applyBorder="1" applyAlignment="1">
      <alignment horizontal="right" vertical="center" wrapText="1"/>
    </xf>
    <xf numFmtId="3" fontId="28" fillId="0" borderId="2" xfId="3" applyNumberFormat="1" applyFont="1" applyBorder="1" applyAlignment="1">
      <alignment horizontal="right" vertical="center" wrapText="1"/>
    </xf>
    <xf numFmtId="168" fontId="23" fillId="2" borderId="0" xfId="4" applyNumberFormat="1" applyFont="1" applyFill="1" applyAlignment="1">
      <alignment vertical="center"/>
    </xf>
    <xf numFmtId="168" fontId="19" fillId="2" borderId="0" xfId="4" applyNumberFormat="1" applyFont="1" applyFill="1" applyAlignment="1">
      <alignment vertical="center"/>
    </xf>
    <xf numFmtId="0" fontId="21" fillId="0" borderId="1" xfId="0" applyFont="1" applyBorder="1" applyAlignment="1">
      <alignment horizontal="center" vertical="center" wrapText="1"/>
    </xf>
    <xf numFmtId="0" fontId="23" fillId="0" borderId="0" xfId="15" applyFont="1" applyAlignment="1">
      <alignment wrapText="1"/>
    </xf>
    <xf numFmtId="0" fontId="20" fillId="0" borderId="0" xfId="15" quotePrefix="1" applyFont="1" applyAlignment="1">
      <alignment horizontal="left" vertical="center" wrapText="1"/>
    </xf>
    <xf numFmtId="0" fontId="19" fillId="2" borderId="0" xfId="0" applyFont="1" applyFill="1"/>
    <xf numFmtId="168" fontId="19" fillId="0" borderId="0" xfId="4" applyNumberFormat="1" applyFont="1"/>
    <xf numFmtId="168" fontId="43" fillId="2" borderId="1" xfId="4" applyNumberFormat="1" applyFont="1" applyFill="1" applyBorder="1" applyAlignment="1">
      <alignment vertical="center" wrapText="1"/>
    </xf>
    <xf numFmtId="0" fontId="43" fillId="2" borderId="1" xfId="3" applyFont="1" applyFill="1" applyBorder="1" applyAlignment="1">
      <alignment vertical="center" wrapText="1"/>
    </xf>
    <xf numFmtId="0" fontId="2" fillId="0" borderId="0" xfId="20"/>
    <xf numFmtId="0" fontId="45" fillId="0" borderId="5" xfId="20" applyFont="1" applyBorder="1" applyAlignment="1">
      <alignment horizontal="center" vertical="center"/>
    </xf>
    <xf numFmtId="0" fontId="46" fillId="0" borderId="1" xfId="20" applyFont="1" applyBorder="1" applyAlignment="1">
      <alignment horizontal="center" vertical="center" wrapText="1"/>
    </xf>
    <xf numFmtId="0" fontId="47" fillId="0" borderId="1" xfId="20" applyFont="1" applyBorder="1" applyAlignment="1">
      <alignment horizontal="center" vertical="center" wrapText="1"/>
    </xf>
    <xf numFmtId="3" fontId="47" fillId="0" borderId="1" xfId="20" applyNumberFormat="1" applyFont="1" applyBorder="1" applyAlignment="1">
      <alignment horizontal="right" vertical="center" wrapText="1"/>
    </xf>
    <xf numFmtId="0" fontId="48" fillId="0" borderId="1" xfId="20" applyFont="1" applyBorder="1" applyAlignment="1">
      <alignment horizontal="center" vertical="center" wrapText="1"/>
    </xf>
    <xf numFmtId="0" fontId="48" fillId="0" borderId="1" xfId="20" applyFont="1" applyBorder="1" applyAlignment="1">
      <alignment vertical="center" wrapText="1"/>
    </xf>
    <xf numFmtId="3" fontId="48" fillId="0" borderId="1" xfId="20" applyNumberFormat="1" applyFont="1" applyBorder="1" applyAlignment="1">
      <alignment horizontal="right" vertical="center" wrapText="1"/>
    </xf>
    <xf numFmtId="3" fontId="37" fillId="0" borderId="1" xfId="20" applyNumberFormat="1" applyFont="1" applyBorder="1" applyAlignment="1">
      <alignment horizontal="right" vertical="center" wrapText="1"/>
    </xf>
    <xf numFmtId="0" fontId="37" fillId="0" borderId="1" xfId="20" applyFont="1" applyBorder="1" applyAlignment="1">
      <alignment horizontal="right" vertical="center" wrapText="1"/>
    </xf>
    <xf numFmtId="0" fontId="48" fillId="0" borderId="1" xfId="20" applyFont="1" applyBorder="1" applyAlignment="1">
      <alignment horizontal="right" vertical="center" wrapText="1"/>
    </xf>
    <xf numFmtId="3" fontId="37" fillId="0" borderId="1" xfId="20" applyNumberFormat="1" applyFont="1" applyBorder="1" applyAlignment="1">
      <alignment horizontal="center" vertical="center" wrapText="1"/>
    </xf>
    <xf numFmtId="0" fontId="9" fillId="0" borderId="0" xfId="20" applyFont="1" applyAlignment="1">
      <alignment horizontal="center" vertical="center"/>
    </xf>
    <xf numFmtId="0" fontId="50" fillId="0" borderId="1" xfId="20" applyFont="1" applyBorder="1" applyAlignment="1">
      <alignment horizontal="center" vertical="center" wrapText="1"/>
    </xf>
    <xf numFmtId="0" fontId="46" fillId="0" borderId="1" xfId="20" applyFont="1" applyBorder="1" applyAlignment="1">
      <alignment horizontal="justify" vertical="center" wrapText="1"/>
    </xf>
    <xf numFmtId="3" fontId="46" fillId="0" borderId="1" xfId="20" applyNumberFormat="1" applyFont="1" applyBorder="1" applyAlignment="1">
      <alignment horizontal="right" vertical="center" wrapText="1"/>
    </xf>
    <xf numFmtId="0" fontId="51" fillId="0" borderId="1" xfId="20" applyFont="1" applyBorder="1" applyAlignment="1">
      <alignment horizontal="justify" vertical="center" wrapText="1"/>
    </xf>
    <xf numFmtId="0" fontId="47" fillId="0" borderId="1" xfId="20" applyFont="1" applyBorder="1" applyAlignment="1">
      <alignment vertical="center" wrapText="1"/>
    </xf>
    <xf numFmtId="0" fontId="52" fillId="0" borderId="1" xfId="20" applyFont="1" applyBorder="1" applyAlignment="1">
      <alignment horizontal="justify" vertical="center" wrapText="1"/>
    </xf>
    <xf numFmtId="0" fontId="46" fillId="0" borderId="1" xfId="20" applyFont="1" applyBorder="1" applyAlignment="1">
      <alignment horizontal="left" vertical="center" wrapText="1"/>
    </xf>
    <xf numFmtId="3" fontId="53" fillId="0" borderId="1" xfId="20" applyNumberFormat="1" applyFont="1" applyBorder="1" applyAlignment="1">
      <alignment horizontal="right" vertical="center" wrapText="1"/>
    </xf>
    <xf numFmtId="0" fontId="46" fillId="0" borderId="1" xfId="20" applyFont="1" applyBorder="1" applyAlignment="1">
      <alignment vertical="center" wrapText="1"/>
    </xf>
    <xf numFmtId="0" fontId="54" fillId="0" borderId="1" xfId="20" applyFont="1" applyBorder="1" applyAlignment="1">
      <alignment horizontal="center" vertical="center" wrapText="1"/>
    </xf>
    <xf numFmtId="0" fontId="44" fillId="0" borderId="0" xfId="20" applyFont="1"/>
    <xf numFmtId="0" fontId="6" fillId="0" borderId="5" xfId="20" applyFont="1" applyBorder="1" applyAlignment="1">
      <alignment horizontal="center" vertical="center" wrapText="1"/>
    </xf>
    <xf numFmtId="0" fontId="9" fillId="0" borderId="1" xfId="20" applyFont="1" applyBorder="1" applyAlignment="1">
      <alignment horizontal="center" vertical="center" wrapText="1"/>
    </xf>
    <xf numFmtId="0" fontId="37" fillId="0" borderId="1" xfId="20" applyFont="1" applyBorder="1" applyAlignment="1">
      <alignment horizontal="center" vertical="center" wrapText="1"/>
    </xf>
    <xf numFmtId="0" fontId="37" fillId="0" borderId="1" xfId="20" applyFont="1" applyBorder="1" applyAlignment="1">
      <alignment vertical="center" wrapText="1"/>
    </xf>
    <xf numFmtId="3" fontId="37" fillId="0" borderId="1" xfId="20" applyNumberFormat="1" applyFont="1" applyBorder="1" applyAlignment="1">
      <alignment horizontal="justify" vertical="center" wrapText="1"/>
    </xf>
    <xf numFmtId="0" fontId="37" fillId="0" borderId="1" xfId="20" applyFont="1" applyBorder="1" applyAlignment="1">
      <alignment horizontal="justify" vertical="center" wrapText="1"/>
    </xf>
    <xf numFmtId="0" fontId="9" fillId="0" borderId="1" xfId="20" applyFont="1" applyBorder="1" applyAlignment="1">
      <alignment horizontal="justify" vertical="center" wrapText="1"/>
    </xf>
    <xf numFmtId="0" fontId="9" fillId="0" borderId="1" xfId="20" applyFont="1" applyBorder="1" applyAlignment="1">
      <alignment horizontal="right" vertical="center" wrapText="1"/>
    </xf>
    <xf numFmtId="0" fontId="55" fillId="0" borderId="1" xfId="20" applyFont="1" applyBorder="1" applyAlignment="1">
      <alignment horizontal="justify" vertical="center" wrapText="1"/>
    </xf>
    <xf numFmtId="0" fontId="6" fillId="0" borderId="0" xfId="20" applyFont="1" applyAlignment="1">
      <alignment horizontal="center" vertical="center"/>
    </xf>
    <xf numFmtId="3" fontId="23" fillId="0" borderId="1" xfId="20" applyNumberFormat="1" applyFont="1" applyBorder="1" applyAlignment="1">
      <alignment horizontal="right" vertical="center" wrapText="1"/>
    </xf>
    <xf numFmtId="3" fontId="56" fillId="0" borderId="1" xfId="20" applyNumberFormat="1" applyFont="1" applyBorder="1" applyAlignment="1">
      <alignment horizontal="right" vertical="center" wrapText="1"/>
    </xf>
    <xf numFmtId="0" fontId="23" fillId="0" borderId="1" xfId="20" applyFont="1" applyBorder="1" applyAlignment="1">
      <alignment horizontal="right" vertical="center" wrapText="1"/>
    </xf>
    <xf numFmtId="0" fontId="56" fillId="0" borderId="1" xfId="20" applyFont="1" applyBorder="1" applyAlignment="1">
      <alignment horizontal="right" vertical="center" wrapText="1"/>
    </xf>
    <xf numFmtId="0" fontId="57" fillId="0" borderId="1" xfId="20" applyFont="1" applyBorder="1" applyAlignment="1">
      <alignment horizontal="right" vertical="center" wrapText="1"/>
    </xf>
    <xf numFmtId="0" fontId="21" fillId="0" borderId="1" xfId="20" applyFont="1" applyBorder="1" applyAlignment="1">
      <alignment horizontal="center" vertical="center" wrapText="1"/>
    </xf>
    <xf numFmtId="3" fontId="21" fillId="0" borderId="1" xfId="20" applyNumberFormat="1" applyFont="1" applyBorder="1" applyAlignment="1">
      <alignment horizontal="right" vertical="center" wrapText="1"/>
    </xf>
    <xf numFmtId="0" fontId="23" fillId="0" borderId="1" xfId="20" applyFont="1" applyBorder="1" applyAlignment="1">
      <alignment horizontal="justify" vertical="center" wrapText="1"/>
    </xf>
    <xf numFmtId="0" fontId="23" fillId="0" borderId="1" xfId="20" applyFont="1" applyBorder="1" applyAlignment="1">
      <alignment horizontal="center" vertical="center" wrapText="1"/>
    </xf>
    <xf numFmtId="0" fontId="6" fillId="0" borderId="5" xfId="20" applyFont="1" applyBorder="1" applyAlignment="1">
      <alignment horizontal="center" vertical="center"/>
    </xf>
    <xf numFmtId="0" fontId="6" fillId="0" borderId="1" xfId="20" applyFont="1" applyBorder="1" applyAlignment="1">
      <alignment horizontal="center" vertical="center" wrapText="1"/>
    </xf>
    <xf numFmtId="0" fontId="5" fillId="0" borderId="1" xfId="20" applyFont="1" applyBorder="1" applyAlignment="1">
      <alignment horizontal="center" vertical="center" wrapText="1"/>
    </xf>
    <xf numFmtId="0" fontId="5" fillId="0" borderId="1" xfId="20" applyFont="1" applyBorder="1" applyAlignment="1">
      <alignment horizontal="justify" vertical="center" wrapText="1"/>
    </xf>
    <xf numFmtId="0" fontId="16" fillId="0" borderId="1" xfId="20" applyFont="1" applyBorder="1" applyAlignment="1">
      <alignment horizontal="right" vertical="center" wrapText="1"/>
    </xf>
    <xf numFmtId="0" fontId="51" fillId="0" borderId="1" xfId="20" applyFont="1" applyBorder="1" applyAlignment="1">
      <alignment horizontal="center" vertical="center" wrapText="1"/>
    </xf>
    <xf numFmtId="3" fontId="6" fillId="0" borderId="1" xfId="20" applyNumberFormat="1" applyFont="1" applyBorder="1" applyAlignment="1">
      <alignment horizontal="center" vertical="center" wrapText="1"/>
    </xf>
    <xf numFmtId="0" fontId="58" fillId="0" borderId="0" xfId="20" applyFont="1"/>
    <xf numFmtId="0" fontId="58" fillId="0" borderId="0" xfId="20" applyFont="1" applyAlignment="1">
      <alignment horizontal="left"/>
    </xf>
    <xf numFmtId="0" fontId="59" fillId="0" borderId="0" xfId="20" applyFont="1"/>
    <xf numFmtId="0" fontId="58" fillId="0" borderId="0" xfId="20" applyFont="1" applyAlignment="1">
      <alignment horizontal="center" vertical="center"/>
    </xf>
    <xf numFmtId="0" fontId="34" fillId="0" borderId="1" xfId="20" applyFont="1" applyBorder="1" applyAlignment="1">
      <alignment horizontal="center" vertical="center" wrapText="1"/>
    </xf>
    <xf numFmtId="0" fontId="59" fillId="0" borderId="0" xfId="20" applyFont="1" applyAlignment="1">
      <alignment horizontal="center" vertical="center"/>
    </xf>
    <xf numFmtId="0" fontId="58" fillId="0" borderId="1" xfId="20" applyFont="1" applyBorder="1" applyAlignment="1">
      <alignment horizontal="center" vertical="center" wrapText="1"/>
    </xf>
    <xf numFmtId="0" fontId="58" fillId="0" borderId="1" xfId="20" applyFont="1" applyBorder="1" applyAlignment="1">
      <alignment horizontal="left" vertical="center" wrapText="1"/>
    </xf>
    <xf numFmtId="3" fontId="58" fillId="0" borderId="1" xfId="20" applyNumberFormat="1" applyFont="1" applyBorder="1" applyAlignment="1">
      <alignment horizontal="center" vertical="center" wrapText="1"/>
    </xf>
    <xf numFmtId="13" fontId="59" fillId="0" borderId="0" xfId="21" applyNumberFormat="1" applyFont="1"/>
    <xf numFmtId="0" fontId="58" fillId="0" borderId="1" xfId="20" applyFont="1" applyBorder="1" applyAlignment="1">
      <alignment vertical="center" wrapText="1"/>
    </xf>
    <xf numFmtId="0" fontId="59" fillId="0" borderId="0" xfId="20" applyFont="1" applyAlignment="1">
      <alignment horizontal="left"/>
    </xf>
    <xf numFmtId="0" fontId="37" fillId="0" borderId="0" xfId="20" applyFont="1" applyAlignment="1">
      <alignment vertical="center"/>
    </xf>
    <xf numFmtId="0" fontId="37" fillId="0" borderId="0" xfId="20" applyFont="1" applyAlignment="1">
      <alignment vertical="center" wrapText="1"/>
    </xf>
    <xf numFmtId="167" fontId="37" fillId="0" borderId="0" xfId="22" applyNumberFormat="1" applyFont="1" applyAlignment="1">
      <alignment vertical="center"/>
    </xf>
    <xf numFmtId="167" fontId="9" fillId="0" borderId="1" xfId="22" applyNumberFormat="1" applyFont="1" applyBorder="1" applyAlignment="1">
      <alignment horizontal="center" vertical="center" wrapText="1"/>
    </xf>
    <xf numFmtId="3" fontId="38" fillId="0" borderId="1" xfId="20" applyNumberFormat="1" applyFont="1" applyBorder="1" applyAlignment="1">
      <alignment horizontal="left" vertical="center" wrapText="1"/>
    </xf>
    <xf numFmtId="3" fontId="38" fillId="0" borderId="1" xfId="20" applyNumberFormat="1" applyFont="1" applyBorder="1" applyAlignment="1">
      <alignment horizontal="center" vertical="center" wrapText="1"/>
    </xf>
    <xf numFmtId="167" fontId="36" fillId="0" borderId="1" xfId="22" applyNumberFormat="1" applyFont="1" applyBorder="1" applyAlignment="1">
      <alignment horizontal="right" vertical="center" wrapText="1"/>
    </xf>
    <xf numFmtId="3" fontId="39" fillId="0" borderId="1" xfId="20" applyNumberFormat="1" applyFont="1" applyBorder="1" applyAlignment="1">
      <alignment horizontal="left" vertical="center" wrapText="1"/>
    </xf>
    <xf numFmtId="3" fontId="39" fillId="0" borderId="1" xfId="20" applyNumberFormat="1" applyFont="1" applyBorder="1" applyAlignment="1">
      <alignment horizontal="left" vertical="center"/>
    </xf>
    <xf numFmtId="0" fontId="36" fillId="0" borderId="1" xfId="20" applyFont="1" applyBorder="1" applyAlignment="1">
      <alignment horizontal="center" vertical="center" wrapText="1"/>
    </xf>
    <xf numFmtId="167" fontId="37" fillId="0" borderId="1" xfId="22" applyNumberFormat="1" applyFont="1" applyBorder="1" applyAlignment="1">
      <alignment horizontal="right" vertical="center" wrapText="1"/>
    </xf>
    <xf numFmtId="0" fontId="39" fillId="0" borderId="1" xfId="20" applyFont="1" applyBorder="1" applyAlignment="1">
      <alignment vertical="center" wrapText="1"/>
    </xf>
    <xf numFmtId="0" fontId="39" fillId="0" borderId="1" xfId="20" applyFont="1" applyBorder="1" applyAlignment="1">
      <alignment vertical="center"/>
    </xf>
    <xf numFmtId="3" fontId="53" fillId="0" borderId="1" xfId="20" applyNumberFormat="1" applyFont="1" applyBorder="1" applyAlignment="1">
      <alignment horizontal="center" vertical="center"/>
    </xf>
    <xf numFmtId="3" fontId="38" fillId="0" borderId="1" xfId="20" applyNumberFormat="1" applyFont="1" applyBorder="1" applyAlignment="1">
      <alignment horizontal="center" vertical="center"/>
    </xf>
    <xf numFmtId="0" fontId="37" fillId="0" borderId="1" xfId="20" applyFont="1" applyBorder="1" applyAlignment="1">
      <alignment vertical="center"/>
    </xf>
    <xf numFmtId="3" fontId="39" fillId="0" borderId="1" xfId="20" applyNumberFormat="1" applyFont="1" applyBorder="1" applyAlignment="1">
      <alignment horizontal="center" vertical="center"/>
    </xf>
    <xf numFmtId="167" fontId="37" fillId="0" borderId="1" xfId="22" applyNumberFormat="1" applyFont="1" applyBorder="1" applyAlignment="1">
      <alignment vertical="center"/>
    </xf>
    <xf numFmtId="0" fontId="53" fillId="0" borderId="1" xfId="20" applyFont="1" applyBorder="1" applyAlignment="1">
      <alignment horizontal="center" vertical="center" wrapText="1"/>
    </xf>
    <xf numFmtId="167" fontId="9" fillId="0" borderId="1" xfId="22" applyNumberFormat="1" applyFont="1" applyBorder="1" applyAlignment="1">
      <alignment vertical="center"/>
    </xf>
    <xf numFmtId="167" fontId="37" fillId="0" borderId="0" xfId="20" applyNumberFormat="1" applyFont="1" applyAlignment="1">
      <alignment vertical="center"/>
    </xf>
    <xf numFmtId="10" fontId="37" fillId="0" borderId="0" xfId="21" applyNumberFormat="1" applyFont="1" applyAlignment="1">
      <alignment vertical="center"/>
    </xf>
    <xf numFmtId="3" fontId="61" fillId="5" borderId="11" xfId="23" applyNumberFormat="1" applyFont="1" applyFill="1" applyBorder="1"/>
    <xf numFmtId="0" fontId="61" fillId="0" borderId="11" xfId="23" applyFont="1" applyBorder="1"/>
    <xf numFmtId="0" fontId="29" fillId="5" borderId="0" xfId="23" applyFill="1"/>
    <xf numFmtId="0" fontId="29" fillId="0" borderId="0" xfId="23"/>
    <xf numFmtId="0" fontId="63" fillId="5" borderId="15" xfId="23" applyFont="1" applyFill="1" applyBorder="1" applyAlignment="1">
      <alignment vertical="center"/>
    </xf>
    <xf numFmtId="3" fontId="63" fillId="5" borderId="15" xfId="23" applyNumberFormat="1" applyFont="1" applyFill="1" applyBorder="1" applyAlignment="1">
      <alignment horizontal="center" vertical="center"/>
    </xf>
    <xf numFmtId="3" fontId="63" fillId="5" borderId="15" xfId="23" applyNumberFormat="1" applyFont="1" applyFill="1" applyBorder="1" applyAlignment="1">
      <alignment horizontal="right" vertical="center"/>
    </xf>
    <xf numFmtId="0" fontId="65" fillId="5" borderId="0" xfId="23" applyFont="1" applyFill="1"/>
    <xf numFmtId="3" fontId="63" fillId="5" borderId="16" xfId="23" applyNumberFormat="1" applyFont="1" applyFill="1" applyBorder="1" applyAlignment="1">
      <alignment horizontal="center" vertical="center" wrapText="1"/>
    </xf>
    <xf numFmtId="3" fontId="64" fillId="5" borderId="16" xfId="23" applyNumberFormat="1" applyFont="1" applyFill="1" applyBorder="1" applyAlignment="1">
      <alignment horizontal="center" vertical="center" wrapText="1"/>
    </xf>
    <xf numFmtId="0" fontId="65" fillId="5" borderId="0" xfId="23" applyFont="1" applyFill="1" applyAlignment="1">
      <alignment wrapText="1"/>
    </xf>
    <xf numFmtId="0" fontId="65" fillId="0" borderId="0" xfId="23" applyFont="1" applyAlignment="1">
      <alignment horizontal="center" wrapText="1"/>
    </xf>
    <xf numFmtId="0" fontId="65" fillId="0" borderId="0" xfId="23" applyFont="1" applyAlignment="1">
      <alignment wrapText="1"/>
    </xf>
    <xf numFmtId="0" fontId="67" fillId="5" borderId="16" xfId="23" applyFont="1" applyFill="1" applyBorder="1" applyAlignment="1">
      <alignment horizontal="center" vertical="center"/>
    </xf>
    <xf numFmtId="167" fontId="43" fillId="5" borderId="16" xfId="10" applyNumberFormat="1" applyFont="1" applyFill="1" applyBorder="1" applyAlignment="1">
      <alignment horizontal="center" vertical="center"/>
    </xf>
    <xf numFmtId="3" fontId="43" fillId="5" borderId="16" xfId="23" applyNumberFormat="1" applyFont="1" applyFill="1" applyBorder="1" applyAlignment="1">
      <alignment horizontal="center" vertical="center"/>
    </xf>
    <xf numFmtId="167" fontId="31" fillId="5" borderId="16" xfId="10" applyNumberFormat="1" applyFont="1" applyFill="1" applyBorder="1" applyAlignment="1">
      <alignment horizontal="center" vertical="center"/>
    </xf>
    <xf numFmtId="3" fontId="43" fillId="5" borderId="16" xfId="23" applyNumberFormat="1" applyFont="1" applyFill="1" applyBorder="1" applyAlignment="1">
      <alignment horizontal="right" vertical="center"/>
    </xf>
    <xf numFmtId="3" fontId="29" fillId="6" borderId="0" xfId="23" applyNumberFormat="1" applyFill="1" applyAlignment="1">
      <alignment horizontal="center" vertical="center"/>
    </xf>
    <xf numFmtId="3" fontId="29" fillId="0" borderId="0" xfId="23" applyNumberFormat="1" applyAlignment="1">
      <alignment horizontal="center" vertical="center"/>
    </xf>
    <xf numFmtId="0" fontId="29" fillId="0" borderId="0" xfId="23" applyAlignment="1">
      <alignment horizontal="center" vertical="center"/>
    </xf>
    <xf numFmtId="0" fontId="67" fillId="5" borderId="16" xfId="23" applyFont="1" applyFill="1" applyBorder="1" applyAlignment="1">
      <alignment horizontal="center" vertical="center" wrapText="1"/>
    </xf>
    <xf numFmtId="0" fontId="29" fillId="0" borderId="0" xfId="23" applyAlignment="1">
      <alignment vertical="center"/>
    </xf>
    <xf numFmtId="0" fontId="66" fillId="5" borderId="16" xfId="23" applyFont="1" applyFill="1" applyBorder="1" applyAlignment="1">
      <alignment vertical="center"/>
    </xf>
    <xf numFmtId="3" fontId="66" fillId="5" borderId="20" xfId="23" applyNumberFormat="1" applyFont="1" applyFill="1" applyBorder="1" applyAlignment="1">
      <alignment horizontal="right" vertical="center"/>
    </xf>
    <xf numFmtId="3" fontId="66" fillId="5" borderId="21" xfId="23" applyNumberFormat="1" applyFont="1" applyFill="1" applyBorder="1" applyAlignment="1">
      <alignment horizontal="right" vertical="center"/>
    </xf>
    <xf numFmtId="0" fontId="33" fillId="0" borderId="0" xfId="23" applyFont="1"/>
    <xf numFmtId="0" fontId="64" fillId="5" borderId="22" xfId="23" applyFont="1" applyFill="1" applyBorder="1"/>
    <xf numFmtId="3" fontId="64" fillId="5" borderId="22" xfId="23" applyNumberFormat="1" applyFont="1" applyFill="1" applyBorder="1" applyAlignment="1">
      <alignment horizontal="center"/>
    </xf>
    <xf numFmtId="3" fontId="64" fillId="5" borderId="22" xfId="23" applyNumberFormat="1" applyFont="1" applyFill="1" applyBorder="1" applyAlignment="1">
      <alignment horizontal="right"/>
    </xf>
    <xf numFmtId="3" fontId="69" fillId="5" borderId="22" xfId="23" applyNumberFormat="1" applyFont="1" applyFill="1" applyBorder="1" applyAlignment="1">
      <alignment horizontal="center"/>
    </xf>
    <xf numFmtId="0" fontId="64" fillId="5" borderId="11" xfId="23" applyFont="1" applyFill="1" applyBorder="1"/>
    <xf numFmtId="3" fontId="64" fillId="5" borderId="11" xfId="23" applyNumberFormat="1" applyFont="1" applyFill="1" applyBorder="1" applyAlignment="1">
      <alignment horizontal="center"/>
    </xf>
    <xf numFmtId="3" fontId="64" fillId="5" borderId="11" xfId="23" applyNumberFormat="1" applyFont="1" applyFill="1" applyBorder="1" applyAlignment="1">
      <alignment horizontal="right"/>
    </xf>
    <xf numFmtId="3" fontId="69" fillId="5" borderId="11" xfId="23" applyNumberFormat="1" applyFont="1" applyFill="1" applyBorder="1" applyAlignment="1">
      <alignment horizontal="center"/>
    </xf>
    <xf numFmtId="0" fontId="30" fillId="0" borderId="11" xfId="11" applyBorder="1" applyAlignment="1">
      <alignment vertical="center"/>
    </xf>
    <xf numFmtId="0" fontId="9" fillId="0" borderId="0" xfId="11" applyFont="1" applyAlignment="1">
      <alignment vertical="center"/>
    </xf>
    <xf numFmtId="3" fontId="9" fillId="0" borderId="0" xfId="11" applyNumberFormat="1" applyFont="1" applyAlignment="1">
      <alignment vertical="center"/>
    </xf>
    <xf numFmtId="0" fontId="30" fillId="0" borderId="0" xfId="11" applyAlignment="1">
      <alignment vertical="center"/>
    </xf>
    <xf numFmtId="0" fontId="9" fillId="0" borderId="11" xfId="11" applyFont="1" applyBorder="1" applyAlignment="1">
      <alignment vertical="center"/>
    </xf>
    <xf numFmtId="0" fontId="64" fillId="5" borderId="0" xfId="23" applyFont="1" applyFill="1"/>
    <xf numFmtId="3" fontId="64" fillId="5" borderId="0" xfId="23" applyNumberFormat="1" applyFont="1" applyFill="1" applyAlignment="1">
      <alignment horizontal="center"/>
    </xf>
    <xf numFmtId="3" fontId="64" fillId="5" borderId="0" xfId="23" applyNumberFormat="1" applyFont="1" applyFill="1" applyAlignment="1">
      <alignment horizontal="right"/>
    </xf>
    <xf numFmtId="3" fontId="69" fillId="5" borderId="0" xfId="23" applyNumberFormat="1" applyFont="1" applyFill="1" applyAlignment="1">
      <alignment horizontal="center"/>
    </xf>
    <xf numFmtId="0" fontId="29" fillId="0" borderId="0" xfId="23" applyAlignment="1">
      <alignment horizontal="center"/>
    </xf>
    <xf numFmtId="3" fontId="66" fillId="5" borderId="16" xfId="23" applyNumberFormat="1" applyFont="1" applyFill="1" applyBorder="1" applyAlignment="1">
      <alignment horizontal="center" vertical="center"/>
    </xf>
    <xf numFmtId="3" fontId="64" fillId="5" borderId="15" xfId="23" applyNumberFormat="1" applyFont="1" applyFill="1" applyBorder="1" applyAlignment="1">
      <alignment horizontal="right"/>
    </xf>
    <xf numFmtId="0" fontId="14" fillId="0" borderId="0" xfId="15" applyFont="1" applyAlignment="1">
      <alignment horizontal="center"/>
    </xf>
    <xf numFmtId="0" fontId="14" fillId="0" borderId="0" xfId="15" applyFont="1" applyAlignment="1">
      <alignment horizontal="center" vertical="center" wrapText="1"/>
    </xf>
    <xf numFmtId="0" fontId="9" fillId="0" borderId="0" xfId="13" applyFont="1" applyAlignment="1">
      <alignment horizontal="center" vertical="center"/>
    </xf>
    <xf numFmtId="167" fontId="68" fillId="7" borderId="16" xfId="4" quotePrefix="1" applyNumberFormat="1" applyFont="1" applyFill="1" applyBorder="1" applyAlignment="1">
      <alignment horizontal="center" vertical="center"/>
    </xf>
    <xf numFmtId="167" fontId="34" fillId="7" borderId="16" xfId="4" applyNumberFormat="1" applyFont="1" applyFill="1" applyBorder="1" applyAlignment="1">
      <alignment horizontal="center" vertical="center"/>
    </xf>
    <xf numFmtId="167" fontId="34" fillId="7" borderId="17" xfId="4" applyNumberFormat="1" applyFont="1" applyFill="1" applyBorder="1" applyAlignment="1">
      <alignment horizontal="center" vertical="center"/>
    </xf>
    <xf numFmtId="167" fontId="34" fillId="7" borderId="18" xfId="4" applyNumberFormat="1" applyFont="1" applyFill="1" applyBorder="1" applyAlignment="1">
      <alignment horizontal="center" vertical="center"/>
    </xf>
    <xf numFmtId="167" fontId="68" fillId="0" borderId="0" xfId="4" applyNumberFormat="1" applyFont="1" applyAlignment="1"/>
    <xf numFmtId="167" fontId="39" fillId="5" borderId="19" xfId="4" applyNumberFormat="1" applyFont="1" applyFill="1" applyBorder="1" applyAlignment="1">
      <alignment horizontal="right" vertical="center"/>
    </xf>
    <xf numFmtId="167" fontId="63" fillId="5" borderId="16" xfId="4" applyNumberFormat="1" applyFont="1" applyFill="1" applyBorder="1" applyAlignment="1">
      <alignment horizontal="center" vertical="center" wrapText="1"/>
    </xf>
    <xf numFmtId="167" fontId="64" fillId="5" borderId="16" xfId="4" applyNumberFormat="1" applyFont="1" applyFill="1" applyBorder="1" applyAlignment="1">
      <alignment horizontal="center" vertical="center" wrapText="1"/>
    </xf>
    <xf numFmtId="167" fontId="61" fillId="0" borderId="16" xfId="4" applyNumberFormat="1" applyFont="1" applyBorder="1" applyAlignment="1">
      <alignment vertical="center"/>
    </xf>
    <xf numFmtId="167" fontId="43" fillId="5" borderId="16" xfId="4" applyNumberFormat="1" applyFont="1" applyFill="1" applyBorder="1" applyAlignment="1">
      <alignment horizontal="center" vertical="center"/>
    </xf>
    <xf numFmtId="167" fontId="43" fillId="5" borderId="16" xfId="4" applyNumberFormat="1" applyFont="1" applyFill="1" applyBorder="1" applyAlignment="1">
      <alignment horizontal="right" vertical="center"/>
    </xf>
    <xf numFmtId="167" fontId="31" fillId="5" borderId="16" xfId="4" applyNumberFormat="1" applyFont="1" applyFill="1" applyBorder="1" applyAlignment="1">
      <alignment horizontal="center" vertical="center"/>
    </xf>
    <xf numFmtId="167" fontId="39" fillId="5" borderId="16" xfId="4" applyNumberFormat="1" applyFont="1" applyFill="1" applyBorder="1" applyAlignment="1">
      <alignment horizontal="right" vertical="center"/>
    </xf>
    <xf numFmtId="167" fontId="66" fillId="5" borderId="16" xfId="4" applyNumberFormat="1" applyFont="1" applyFill="1" applyBorder="1" applyAlignment="1">
      <alignment horizontal="center" vertical="center"/>
    </xf>
    <xf numFmtId="9" fontId="64" fillId="5" borderId="11" xfId="18" applyFont="1" applyFill="1" applyBorder="1" applyAlignment="1">
      <alignment horizontal="right"/>
    </xf>
    <xf numFmtId="3" fontId="30" fillId="0" borderId="0" xfId="11" applyNumberFormat="1" applyAlignment="1">
      <alignment vertical="center"/>
    </xf>
    <xf numFmtId="0" fontId="23" fillId="0" borderId="0" xfId="24" applyFont="1"/>
    <xf numFmtId="167" fontId="23" fillId="0" borderId="0" xfId="25" applyNumberFormat="1" applyFont="1"/>
    <xf numFmtId="0" fontId="23" fillId="0" borderId="0" xfId="24" applyFont="1" applyAlignment="1">
      <alignment horizontal="center"/>
    </xf>
    <xf numFmtId="0" fontId="23" fillId="0" borderId="1" xfId="24" applyFont="1" applyBorder="1" applyAlignment="1">
      <alignment horizontal="center" vertical="center" wrapText="1"/>
    </xf>
    <xf numFmtId="0" fontId="23" fillId="0" borderId="1" xfId="24" applyFont="1" applyBorder="1" applyAlignment="1">
      <alignment vertical="center" wrapText="1"/>
    </xf>
    <xf numFmtId="167" fontId="49" fillId="0" borderId="1" xfId="25" applyNumberFormat="1" applyFont="1" applyBorder="1" applyAlignment="1">
      <alignment horizontal="center" vertical="center" wrapText="1"/>
    </xf>
    <xf numFmtId="0" fontId="23" fillId="0" borderId="1" xfId="24" applyFont="1" applyBorder="1" applyAlignment="1">
      <alignment horizontal="justify" vertical="center" wrapText="1"/>
    </xf>
    <xf numFmtId="0" fontId="49" fillId="0" borderId="1" xfId="24" applyFont="1" applyBorder="1" applyAlignment="1">
      <alignment vertical="center" wrapText="1"/>
    </xf>
    <xf numFmtId="43" fontId="21" fillId="0" borderId="1" xfId="25" applyFont="1" applyBorder="1" applyAlignment="1">
      <alignment horizontal="center" vertical="center" wrapText="1"/>
    </xf>
    <xf numFmtId="0" fontId="21" fillId="0" borderId="1" xfId="24" applyFont="1" applyBorder="1" applyAlignment="1">
      <alignment horizontal="center" vertical="center" wrapText="1"/>
    </xf>
    <xf numFmtId="0" fontId="21" fillId="0" borderId="1" xfId="24" applyFont="1" applyBorder="1" applyAlignment="1">
      <alignment horizontal="justify" vertical="center" wrapText="1"/>
    </xf>
    <xf numFmtId="167" fontId="49" fillId="0" borderId="1" xfId="25" applyNumberFormat="1" applyFont="1" applyBorder="1" applyAlignment="1">
      <alignment horizontal="right" vertical="center" wrapText="1"/>
    </xf>
    <xf numFmtId="167" fontId="23" fillId="0" borderId="0" xfId="24" applyNumberFormat="1" applyFont="1"/>
    <xf numFmtId="9" fontId="21" fillId="0" borderId="1" xfId="26" applyFont="1" applyBorder="1" applyAlignment="1">
      <alignment horizontal="center" vertical="center" wrapText="1"/>
    </xf>
    <xf numFmtId="0" fontId="5" fillId="0" borderId="0" xfId="13" applyFont="1" applyAlignment="1">
      <alignment horizontal="center" vertical="center"/>
    </xf>
    <xf numFmtId="0" fontId="5" fillId="0" borderId="0" xfId="13" applyFont="1" applyAlignment="1">
      <alignment vertical="center"/>
    </xf>
    <xf numFmtId="0" fontId="70" fillId="0" borderId="0" xfId="13" applyFont="1" applyAlignment="1">
      <alignment vertical="center"/>
    </xf>
    <xf numFmtId="167" fontId="70" fillId="0" borderId="0" xfId="25" applyNumberFormat="1" applyFont="1" applyAlignment="1">
      <alignment vertical="center"/>
    </xf>
    <xf numFmtId="0" fontId="6" fillId="0" borderId="1" xfId="13" applyFont="1" applyBorder="1" applyAlignment="1">
      <alignment horizontal="center" vertical="center"/>
    </xf>
    <xf numFmtId="0" fontId="6" fillId="0" borderId="1" xfId="13" applyFont="1" applyBorder="1" applyAlignment="1">
      <alignment horizontal="center" vertical="center" wrapText="1"/>
    </xf>
    <xf numFmtId="0" fontId="71" fillId="0" borderId="0" xfId="13" applyFont="1" applyAlignment="1">
      <alignment horizontal="center" vertical="center"/>
    </xf>
    <xf numFmtId="167" fontId="6" fillId="0" borderId="0" xfId="25" applyNumberFormat="1" applyFont="1" applyAlignment="1">
      <alignment horizontal="center" vertical="center"/>
    </xf>
    <xf numFmtId="0" fontId="72" fillId="0" borderId="1" xfId="13" applyFont="1" applyBorder="1" applyAlignment="1">
      <alignment horizontal="center"/>
    </xf>
    <xf numFmtId="0" fontId="72" fillId="0" borderId="1" xfId="13" applyFont="1" applyBorder="1"/>
    <xf numFmtId="3" fontId="72" fillId="0" borderId="1" xfId="13" applyNumberFormat="1" applyFont="1" applyBorder="1"/>
    <xf numFmtId="0" fontId="73" fillId="0" borderId="0" xfId="13" applyFont="1" applyAlignment="1">
      <alignment vertical="center"/>
    </xf>
    <xf numFmtId="167" fontId="72" fillId="0" borderId="0" xfId="25" applyNumberFormat="1" applyFont="1" applyAlignment="1">
      <alignment vertical="center"/>
    </xf>
    <xf numFmtId="3" fontId="73" fillId="0" borderId="0" xfId="13" applyNumberFormat="1" applyFont="1" applyAlignment="1">
      <alignment vertical="center"/>
    </xf>
    <xf numFmtId="167" fontId="73" fillId="0" borderId="0" xfId="25" applyNumberFormat="1" applyFont="1" applyAlignment="1">
      <alignment vertical="center"/>
    </xf>
    <xf numFmtId="0" fontId="74" fillId="0" borderId="1" xfId="13" applyFont="1" applyBorder="1" applyAlignment="1">
      <alignment horizontal="center"/>
    </xf>
    <xf numFmtId="0" fontId="75" fillId="0" borderId="1" xfId="13" applyFont="1" applyBorder="1" applyAlignment="1">
      <alignment horizontal="center"/>
    </xf>
    <xf numFmtId="0" fontId="74" fillId="0" borderId="1" xfId="13" applyFont="1" applyBorder="1"/>
    <xf numFmtId="3" fontId="74" fillId="0" borderId="1" xfId="13" applyNumberFormat="1" applyFont="1" applyBorder="1"/>
    <xf numFmtId="0" fontId="76" fillId="0" borderId="0" xfId="13" applyFont="1" applyAlignment="1">
      <alignment vertical="center"/>
    </xf>
    <xf numFmtId="0" fontId="5" fillId="0" borderId="1" xfId="13" applyFont="1" applyBorder="1" applyAlignment="1">
      <alignment horizontal="center"/>
    </xf>
    <xf numFmtId="0" fontId="5" fillId="0" borderId="1" xfId="13" applyFont="1" applyBorder="1"/>
    <xf numFmtId="3" fontId="5" fillId="0" borderId="1" xfId="13" applyNumberFormat="1" applyFont="1" applyBorder="1"/>
    <xf numFmtId="0" fontId="10" fillId="0" borderId="1" xfId="13" applyFont="1" applyBorder="1" applyAlignment="1">
      <alignment horizontal="center"/>
    </xf>
    <xf numFmtId="0" fontId="10" fillId="0" borderId="1" xfId="13" applyFont="1" applyBorder="1"/>
    <xf numFmtId="3" fontId="10" fillId="0" borderId="1" xfId="13" applyNumberFormat="1" applyFont="1" applyBorder="1"/>
    <xf numFmtId="0" fontId="11" fillId="0" borderId="1" xfId="13" applyFont="1" applyBorder="1" applyAlignment="1">
      <alignment horizontal="center"/>
    </xf>
    <xf numFmtId="0" fontId="10" fillId="0" borderId="1" xfId="13" applyFont="1" applyBorder="1" applyAlignment="1">
      <alignment horizontal="center" vertical="center"/>
    </xf>
    <xf numFmtId="0" fontId="10" fillId="0" borderId="1" xfId="13" applyFont="1" applyBorder="1" applyAlignment="1">
      <alignment vertical="center" wrapText="1"/>
    </xf>
    <xf numFmtId="3" fontId="10" fillId="0" borderId="1" xfId="13" applyNumberFormat="1" applyFont="1" applyBorder="1" applyAlignment="1">
      <alignment vertical="center"/>
    </xf>
    <xf numFmtId="0" fontId="5" fillId="0" borderId="1" xfId="13" applyFont="1" applyBorder="1" applyAlignment="1">
      <alignment wrapText="1"/>
    </xf>
    <xf numFmtId="3" fontId="11" fillId="0" borderId="1" xfId="13" applyNumberFormat="1" applyFont="1" applyBorder="1"/>
    <xf numFmtId="0" fontId="5" fillId="0" borderId="1" xfId="13" applyFont="1" applyBorder="1" applyAlignment="1">
      <alignment horizontal="center" vertical="center"/>
    </xf>
    <xf numFmtId="0" fontId="5" fillId="0" borderId="1" xfId="13" applyFont="1" applyBorder="1" applyAlignment="1">
      <alignment horizontal="left" vertical="center" wrapText="1"/>
    </xf>
    <xf numFmtId="3" fontId="5" fillId="0" borderId="1" xfId="13" applyNumberFormat="1" applyFont="1" applyBorder="1" applyAlignment="1">
      <alignment vertical="center"/>
    </xf>
    <xf numFmtId="0" fontId="5" fillId="0" borderId="1" xfId="13" applyFont="1" applyBorder="1" applyAlignment="1">
      <alignment horizontal="center" vertical="center" wrapText="1"/>
    </xf>
    <xf numFmtId="0" fontId="77" fillId="0" borderId="0" xfId="13" applyFont="1" applyAlignment="1">
      <alignment vertical="center"/>
    </xf>
    <xf numFmtId="167" fontId="77" fillId="0" borderId="0" xfId="25" applyNumberFormat="1" applyFont="1" applyAlignment="1">
      <alignment vertical="center"/>
    </xf>
    <xf numFmtId="3" fontId="77" fillId="0" borderId="0" xfId="13" applyNumberFormat="1" applyFont="1" applyAlignment="1">
      <alignment vertical="center"/>
    </xf>
    <xf numFmtId="0" fontId="6" fillId="0" borderId="1" xfId="13" applyFont="1" applyBorder="1" applyAlignment="1">
      <alignment horizontal="center"/>
    </xf>
    <xf numFmtId="0" fontId="78" fillId="0" borderId="0" xfId="13" applyFont="1" applyAlignment="1">
      <alignment vertical="center"/>
    </xf>
    <xf numFmtId="167" fontId="78" fillId="0" borderId="0" xfId="25" applyNumberFormat="1" applyFont="1" applyAlignment="1">
      <alignment vertical="center"/>
    </xf>
    <xf numFmtId="0" fontId="11" fillId="0" borderId="1" xfId="13" applyFont="1" applyBorder="1"/>
    <xf numFmtId="3" fontId="70" fillId="0" borderId="0" xfId="13" applyNumberFormat="1" applyFont="1" applyAlignment="1">
      <alignment vertical="center"/>
    </xf>
    <xf numFmtId="0" fontId="11" fillId="0" borderId="1" xfId="13" applyFont="1" applyBorder="1" applyAlignment="1">
      <alignment horizontal="left" vertical="center" wrapText="1"/>
    </xf>
    <xf numFmtId="0" fontId="71" fillId="0" borderId="0" xfId="13" applyFont="1" applyAlignment="1">
      <alignment vertical="center"/>
    </xf>
    <xf numFmtId="167" fontId="71" fillId="0" borderId="0" xfId="25" applyNumberFormat="1" applyFont="1" applyAlignment="1">
      <alignment vertical="center"/>
    </xf>
    <xf numFmtId="0" fontId="5" fillId="0" borderId="1" xfId="13" applyFont="1" applyBorder="1" applyAlignment="1">
      <alignment horizontal="center" wrapText="1"/>
    </xf>
    <xf numFmtId="0" fontId="11" fillId="0" borderId="1" xfId="13" applyFont="1" applyBorder="1" applyAlignment="1">
      <alignment horizontal="left" wrapText="1"/>
    </xf>
    <xf numFmtId="0" fontId="10" fillId="0" borderId="1" xfId="13" applyFont="1" applyBorder="1" applyAlignment="1">
      <alignment horizontal="left" wrapText="1"/>
    </xf>
    <xf numFmtId="0" fontId="5" fillId="0" borderId="1" xfId="13" applyFont="1" applyBorder="1" applyAlignment="1">
      <alignment horizontal="left" wrapText="1"/>
    </xf>
    <xf numFmtId="0" fontId="5" fillId="0" borderId="1" xfId="13" applyFont="1" applyBorder="1" applyAlignment="1">
      <alignment horizontal="left"/>
    </xf>
    <xf numFmtId="0" fontId="11" fillId="0" borderId="1" xfId="13" applyFont="1" applyBorder="1" applyAlignment="1">
      <alignment horizontal="center" vertical="center"/>
    </xf>
    <xf numFmtId="0" fontId="11" fillId="0" borderId="1" xfId="13" applyFont="1" applyBorder="1" applyAlignment="1">
      <alignment vertical="center" wrapText="1"/>
    </xf>
    <xf numFmtId="3" fontId="11" fillId="0" borderId="1" xfId="13" applyNumberFormat="1" applyFont="1" applyBorder="1" applyAlignment="1">
      <alignment vertical="center"/>
    </xf>
    <xf numFmtId="0" fontId="5" fillId="0" borderId="1" xfId="13" quotePrefix="1" applyFont="1" applyBorder="1" applyAlignment="1">
      <alignment horizontal="center"/>
    </xf>
    <xf numFmtId="0" fontId="79" fillId="0" borderId="1" xfId="13" applyFont="1" applyBorder="1" applyAlignment="1">
      <alignment horizontal="center"/>
    </xf>
    <xf numFmtId="0" fontId="10" fillId="0" borderId="1" xfId="13" applyFont="1" applyBorder="1" applyAlignment="1">
      <alignment wrapText="1"/>
    </xf>
    <xf numFmtId="0" fontId="80" fillId="0" borderId="1" xfId="13" applyFont="1" applyBorder="1" applyAlignment="1">
      <alignment horizontal="center"/>
    </xf>
    <xf numFmtId="0" fontId="5" fillId="0" borderId="23" xfId="0" applyFont="1" applyBorder="1" applyAlignment="1">
      <alignment horizontal="left" vertical="center" wrapText="1"/>
    </xf>
    <xf numFmtId="0" fontId="80" fillId="0" borderId="1" xfId="13" applyFont="1" applyBorder="1" applyAlignment="1">
      <alignment horizontal="center" vertical="center"/>
    </xf>
    <xf numFmtId="0" fontId="5" fillId="0" borderId="1" xfId="13" applyFont="1" applyBorder="1" applyAlignment="1">
      <alignment vertical="center" wrapText="1"/>
    </xf>
    <xf numFmtId="0" fontId="5" fillId="0" borderId="1" xfId="13" applyFont="1" applyBorder="1" applyAlignment="1">
      <alignment vertical="center"/>
    </xf>
    <xf numFmtId="167" fontId="5" fillId="0" borderId="1" xfId="13" applyNumberFormat="1" applyFont="1" applyBorder="1" applyAlignment="1">
      <alignment horizontal="right" vertical="center"/>
    </xf>
    <xf numFmtId="0" fontId="5" fillId="0" borderId="0" xfId="13" applyFont="1"/>
    <xf numFmtId="0" fontId="5" fillId="0" borderId="0" xfId="13" applyFont="1" applyAlignment="1">
      <alignment vertical="center" wrapText="1"/>
    </xf>
    <xf numFmtId="167" fontId="5" fillId="0" borderId="1" xfId="13" applyNumberFormat="1" applyFont="1" applyBorder="1" applyAlignment="1">
      <alignment horizontal="right"/>
    </xf>
    <xf numFmtId="0" fontId="5" fillId="0" borderId="3" xfId="13" applyFont="1" applyBorder="1" applyAlignment="1">
      <alignment horizontal="left" wrapText="1"/>
    </xf>
    <xf numFmtId="0" fontId="5" fillId="0" borderId="3" xfId="13" applyFont="1" applyBorder="1" applyAlignment="1">
      <alignment wrapText="1"/>
    </xf>
    <xf numFmtId="0" fontId="80" fillId="0" borderId="6" xfId="13" applyFont="1" applyBorder="1" applyAlignment="1">
      <alignment horizontal="center"/>
    </xf>
    <xf numFmtId="167" fontId="5" fillId="0" borderId="7" xfId="13" applyNumberFormat="1" applyFont="1" applyBorder="1" applyAlignment="1">
      <alignment horizontal="right"/>
    </xf>
    <xf numFmtId="167" fontId="5" fillId="0" borderId="7" xfId="13" applyNumberFormat="1" applyFont="1" applyBorder="1" applyAlignment="1">
      <alignment horizontal="right" vertical="center"/>
    </xf>
    <xf numFmtId="0" fontId="5" fillId="0" borderId="1" xfId="13" quotePrefix="1" applyFont="1" applyBorder="1" applyAlignment="1">
      <alignment vertical="center" wrapText="1"/>
    </xf>
    <xf numFmtId="0" fontId="79" fillId="0" borderId="1" xfId="13" applyFont="1" applyBorder="1" applyAlignment="1">
      <alignment horizontal="center" vertical="center"/>
    </xf>
    <xf numFmtId="0" fontId="6" fillId="0" borderId="1" xfId="13" applyFont="1" applyBorder="1" applyAlignment="1">
      <alignment vertical="center" wrapText="1"/>
    </xf>
    <xf numFmtId="3" fontId="6" fillId="0" borderId="1" xfId="13" applyNumberFormat="1" applyFont="1" applyBorder="1" applyAlignment="1">
      <alignment vertical="center"/>
    </xf>
    <xf numFmtId="0" fontId="70" fillId="0" borderId="0" xfId="13" applyFont="1" applyAlignment="1">
      <alignment horizontal="center" vertical="center"/>
    </xf>
    <xf numFmtId="0" fontId="14" fillId="0" borderId="3" xfId="15" applyFont="1" applyBorder="1" applyAlignment="1">
      <alignment horizontal="center" vertical="center" wrapText="1"/>
    </xf>
    <xf numFmtId="43" fontId="14" fillId="0" borderId="1" xfId="6" applyNumberFormat="1" applyFont="1" applyBorder="1" applyAlignment="1">
      <alignment horizontal="center" vertical="center" wrapText="1"/>
    </xf>
    <xf numFmtId="3" fontId="14" fillId="0" borderId="1" xfId="15" applyNumberFormat="1" applyFont="1" applyBorder="1" applyAlignment="1">
      <alignment horizontal="center" vertical="center" wrapText="1"/>
    </xf>
    <xf numFmtId="0" fontId="14" fillId="0" borderId="1" xfId="15" applyFont="1" applyBorder="1" applyAlignment="1">
      <alignment horizontal="center" vertical="center" wrapText="1"/>
    </xf>
    <xf numFmtId="3" fontId="14" fillId="0" borderId="0" xfId="15" applyNumberFormat="1" applyFont="1" applyAlignment="1">
      <alignment horizontal="center" vertical="center" wrapText="1"/>
    </xf>
    <xf numFmtId="49" fontId="15" fillId="0" borderId="1" xfId="6" applyNumberFormat="1" applyFont="1" applyBorder="1" applyAlignment="1">
      <alignment horizontal="center" vertical="center" wrapText="1"/>
    </xf>
    <xf numFmtId="166" fontId="15" fillId="0" borderId="1" xfId="6" applyFont="1" applyBorder="1" applyAlignment="1">
      <alignment horizontal="center" vertical="center" wrapText="1"/>
    </xf>
    <xf numFmtId="49" fontId="15" fillId="0" borderId="0" xfId="6" applyNumberFormat="1" applyFont="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2" fontId="14" fillId="0" borderId="1" xfId="0" applyNumberFormat="1" applyFont="1" applyBorder="1" applyAlignment="1">
      <alignment horizontal="center" vertical="center"/>
    </xf>
    <xf numFmtId="166" fontId="14" fillId="0" borderId="1" xfId="0" applyNumberFormat="1" applyFont="1" applyBorder="1" applyAlignment="1">
      <alignment horizontal="center" vertical="center"/>
    </xf>
    <xf numFmtId="167" fontId="14" fillId="0" borderId="1" xfId="6" applyNumberFormat="1" applyFont="1" applyBorder="1" applyAlignment="1">
      <alignment horizontal="center" vertical="center"/>
    </xf>
    <xf numFmtId="0" fontId="14" fillId="0" borderId="0" xfId="15" applyFont="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2" fontId="16" fillId="0" borderId="1" xfId="0" applyNumberFormat="1" applyFont="1" applyBorder="1" applyAlignment="1">
      <alignment horizontal="center" vertical="center"/>
    </xf>
    <xf numFmtId="166" fontId="16" fillId="0" borderId="1" xfId="6" applyFont="1" applyBorder="1" applyAlignment="1">
      <alignment horizontal="center" vertical="center"/>
    </xf>
    <xf numFmtId="43" fontId="16" fillId="0" borderId="1" xfId="6" applyNumberFormat="1" applyFont="1" applyBorder="1" applyAlignment="1">
      <alignment horizontal="center" vertical="center"/>
    </xf>
    <xf numFmtId="167" fontId="16" fillId="0" borderId="1" xfId="6" applyNumberFormat="1" applyFont="1" applyBorder="1" applyAlignment="1">
      <alignment horizontal="center" vertical="center"/>
    </xf>
    <xf numFmtId="0" fontId="16" fillId="0" borderId="0" xfId="15" applyFont="1" applyAlignment="1">
      <alignment horizontal="left" vertical="center"/>
    </xf>
    <xf numFmtId="0" fontId="16" fillId="0" borderId="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43" fontId="82" fillId="0" borderId="1" xfId="6" applyNumberFormat="1" applyFont="1" applyBorder="1" applyAlignment="1">
      <alignment horizontal="center" vertical="center"/>
    </xf>
    <xf numFmtId="43" fontId="82" fillId="0" borderId="1" xfId="6" applyNumberFormat="1" applyFont="1" applyBorder="1" applyAlignment="1">
      <alignment vertical="center"/>
    </xf>
    <xf numFmtId="167" fontId="82" fillId="0" borderId="1" xfId="6" applyNumberFormat="1" applyFont="1" applyBorder="1" applyAlignment="1">
      <alignment horizontal="center" vertical="center"/>
    </xf>
    <xf numFmtId="0" fontId="83" fillId="0" borderId="0" xfId="0" applyFont="1" applyAlignment="1">
      <alignment horizontal="left" vertical="center"/>
    </xf>
    <xf numFmtId="0" fontId="75" fillId="0" borderId="1" xfId="0" applyFont="1" applyBorder="1" applyAlignment="1">
      <alignment horizontal="center" vertical="center"/>
    </xf>
    <xf numFmtId="0" fontId="75" fillId="0" borderId="1" xfId="0" applyFont="1" applyBorder="1" applyAlignment="1">
      <alignment horizontal="left" vertical="center" wrapText="1"/>
    </xf>
    <xf numFmtId="2" fontId="75" fillId="0" borderId="1" xfId="0" applyNumberFormat="1" applyFont="1" applyBorder="1" applyAlignment="1">
      <alignment horizontal="center" vertical="center"/>
    </xf>
    <xf numFmtId="166" fontId="75" fillId="0" borderId="1" xfId="0" applyNumberFormat="1" applyFont="1" applyBorder="1" applyAlignment="1">
      <alignment horizontal="center" vertical="center"/>
    </xf>
    <xf numFmtId="167" fontId="75" fillId="0" borderId="1" xfId="6" applyNumberFormat="1" applyFont="1" applyBorder="1" applyAlignment="1">
      <alignment horizontal="center" vertical="center"/>
    </xf>
    <xf numFmtId="0" fontId="75" fillId="0" borderId="0" xfId="15" applyFont="1" applyAlignment="1">
      <alignment horizontal="left" vertical="center"/>
    </xf>
    <xf numFmtId="0" fontId="16" fillId="0" borderId="2" xfId="0" applyFont="1" applyBorder="1" applyAlignment="1">
      <alignment horizontal="left" vertical="center" wrapText="1"/>
    </xf>
    <xf numFmtId="0" fontId="16" fillId="0" borderId="1" xfId="0" quotePrefix="1" applyFont="1" applyBorder="1" applyAlignment="1">
      <alignment vertical="center"/>
    </xf>
    <xf numFmtId="166" fontId="16" fillId="0" borderId="1" xfId="6" quotePrefix="1" applyFont="1" applyBorder="1" applyAlignment="1">
      <alignment horizontal="center"/>
    </xf>
    <xf numFmtId="0" fontId="16" fillId="0" borderId="1" xfId="0" applyFont="1" applyBorder="1" applyAlignment="1">
      <alignment vertical="center"/>
    </xf>
    <xf numFmtId="0" fontId="17" fillId="0" borderId="1" xfId="0" applyFont="1" applyBorder="1" applyAlignment="1">
      <alignment vertical="center"/>
    </xf>
    <xf numFmtId="2" fontId="17" fillId="0" borderId="1" xfId="0" applyNumberFormat="1" applyFont="1" applyBorder="1" applyAlignment="1">
      <alignment horizontal="center" vertical="center"/>
    </xf>
    <xf numFmtId="166" fontId="17" fillId="0" borderId="1" xfId="6" applyFont="1" applyBorder="1" applyAlignment="1">
      <alignment horizontal="center" vertical="center"/>
    </xf>
    <xf numFmtId="43" fontId="17" fillId="0" borderId="1" xfId="6" applyNumberFormat="1" applyFont="1" applyBorder="1" applyAlignment="1">
      <alignment horizontal="center" vertical="center"/>
    </xf>
    <xf numFmtId="167" fontId="17" fillId="0" borderId="1" xfId="6" applyNumberFormat="1" applyFont="1" applyBorder="1" applyAlignment="1">
      <alignment horizontal="center" vertical="center"/>
    </xf>
    <xf numFmtId="0" fontId="84" fillId="0" borderId="1" xfId="0" applyFont="1" applyBorder="1" applyAlignment="1">
      <alignment vertical="center"/>
    </xf>
    <xf numFmtId="2" fontId="84" fillId="0" borderId="1" xfId="0" applyNumberFormat="1" applyFont="1" applyBorder="1" applyAlignment="1">
      <alignment horizontal="center" vertical="center"/>
    </xf>
    <xf numFmtId="0" fontId="84" fillId="0" borderId="1" xfId="0" applyFont="1" applyBorder="1" applyAlignment="1">
      <alignment horizontal="center" vertical="center"/>
    </xf>
    <xf numFmtId="166" fontId="84" fillId="0" borderId="1" xfId="6" applyFont="1" applyBorder="1" applyAlignment="1">
      <alignment horizontal="center" vertical="center"/>
    </xf>
    <xf numFmtId="43" fontId="84" fillId="0" borderId="1" xfId="6" applyNumberFormat="1" applyFont="1" applyBorder="1" applyAlignment="1">
      <alignment horizontal="center" vertical="center"/>
    </xf>
    <xf numFmtId="167" fontId="84" fillId="0" borderId="1" xfId="6" applyNumberFormat="1" applyFont="1" applyBorder="1" applyAlignment="1">
      <alignment horizontal="center" vertical="center"/>
    </xf>
    <xf numFmtId="43" fontId="16" fillId="0" borderId="1" xfId="6" applyNumberFormat="1" applyFont="1" applyBorder="1" applyAlignment="1">
      <alignment vertical="center"/>
    </xf>
    <xf numFmtId="169" fontId="16" fillId="0" borderId="1" xfId="6" applyNumberFormat="1" applyFont="1" applyBorder="1" applyAlignment="1">
      <alignment horizontal="center" vertical="center"/>
    </xf>
    <xf numFmtId="0" fontId="40" fillId="0" borderId="0" xfId="0" applyFont="1" applyAlignment="1">
      <alignment horizontal="left" vertical="center"/>
    </xf>
    <xf numFmtId="0" fontId="85" fillId="0" borderId="0" xfId="0" applyFont="1" applyAlignment="1">
      <alignment horizontal="left" vertical="center"/>
    </xf>
    <xf numFmtId="3" fontId="75" fillId="0" borderId="1" xfId="0" applyNumberFormat="1" applyFont="1" applyBorder="1" applyAlignment="1">
      <alignment horizontal="center" vertical="center"/>
    </xf>
    <xf numFmtId="164" fontId="16" fillId="0" borderId="1" xfId="0" applyNumberFormat="1" applyFont="1" applyBorder="1" applyAlignment="1">
      <alignment horizontal="center" vertical="center"/>
    </xf>
    <xf numFmtId="167" fontId="40" fillId="0" borderId="0" xfId="0" applyNumberFormat="1" applyFont="1" applyAlignment="1">
      <alignment horizontal="left" vertical="center"/>
    </xf>
    <xf numFmtId="0" fontId="14" fillId="0" borderId="1" xfId="0" applyFont="1" applyBorder="1" applyAlignment="1">
      <alignment horizontal="center" vertical="center" wrapText="1"/>
    </xf>
    <xf numFmtId="166" fontId="16" fillId="0" borderId="0" xfId="6" applyFont="1" applyAlignment="1">
      <alignment horizontal="center"/>
    </xf>
    <xf numFmtId="43" fontId="37" fillId="0" borderId="0" xfId="6" applyNumberFormat="1" applyFont="1" applyAlignment="1">
      <alignment horizontal="center"/>
    </xf>
    <xf numFmtId="3" fontId="37" fillId="0" borderId="0" xfId="15" applyNumberFormat="1" applyFont="1" applyAlignment="1">
      <alignment horizontal="center"/>
    </xf>
    <xf numFmtId="0" fontId="37" fillId="0" borderId="0" xfId="15" applyFont="1"/>
    <xf numFmtId="0" fontId="9" fillId="0" borderId="0" xfId="15" applyFont="1"/>
    <xf numFmtId="0" fontId="36" fillId="0" borderId="0" xfId="15" applyFont="1" applyAlignment="1">
      <alignment horizontal="center" vertical="center" wrapText="1"/>
    </xf>
    <xf numFmtId="0" fontId="36" fillId="0" borderId="0" xfId="15" applyFont="1" applyAlignment="1">
      <alignment horizontal="center" wrapText="1"/>
    </xf>
    <xf numFmtId="0" fontId="37" fillId="0" borderId="0" xfId="15" applyFont="1" applyAlignment="1">
      <alignment horizontal="center"/>
    </xf>
    <xf numFmtId="3" fontId="37" fillId="0" borderId="5" xfId="15" applyNumberFormat="1" applyFont="1" applyBorder="1" applyAlignment="1">
      <alignment horizontal="center"/>
    </xf>
    <xf numFmtId="0" fontId="9" fillId="0" borderId="3" xfId="15" applyFont="1" applyBorder="1" applyAlignment="1">
      <alignment horizontal="center" vertical="center" wrapText="1"/>
    </xf>
    <xf numFmtId="43" fontId="9" fillId="0" borderId="1" xfId="6" applyNumberFormat="1" applyFont="1" applyBorder="1" applyAlignment="1">
      <alignment horizontal="center" vertical="center" wrapText="1"/>
    </xf>
    <xf numFmtId="3" fontId="9" fillId="0" borderId="1" xfId="15" applyNumberFormat="1" applyFont="1" applyBorder="1" applyAlignment="1">
      <alignment horizontal="center" vertical="center" wrapText="1"/>
    </xf>
    <xf numFmtId="0" fontId="9" fillId="0" borderId="1" xfId="15" applyFont="1" applyBorder="1" applyAlignment="1">
      <alignment horizontal="center" vertical="center" wrapText="1"/>
    </xf>
    <xf numFmtId="3" fontId="9" fillId="0" borderId="0" xfId="15" applyNumberFormat="1" applyFont="1" applyAlignment="1">
      <alignment horizontal="center" vertical="center" wrapText="1"/>
    </xf>
    <xf numFmtId="0" fontId="9" fillId="0" borderId="0" xfId="15" applyFont="1" applyAlignment="1">
      <alignment horizontal="center" vertical="center" wrapText="1"/>
    </xf>
    <xf numFmtId="49" fontId="9" fillId="0" borderId="1" xfId="6" applyNumberFormat="1" applyFont="1" applyBorder="1" applyAlignment="1">
      <alignment horizontal="center" vertical="center" wrapText="1"/>
    </xf>
    <xf numFmtId="0" fontId="15" fillId="0" borderId="1" xfId="15" applyFont="1" applyBorder="1" applyAlignment="1">
      <alignment horizontal="center" vertical="center" wrapText="1"/>
    </xf>
    <xf numFmtId="49" fontId="9" fillId="0" borderId="0" xfId="6" applyNumberFormat="1" applyFont="1" applyAlignment="1">
      <alignment horizontal="center" vertical="center" wrapText="1"/>
    </xf>
    <xf numFmtId="0" fontId="37" fillId="0" borderId="1" xfId="15" applyFont="1" applyBorder="1" applyAlignment="1">
      <alignment horizontal="center" vertical="center"/>
    </xf>
    <xf numFmtId="0" fontId="37" fillId="0" borderId="1" xfId="15" applyFont="1" applyBorder="1" applyAlignment="1">
      <alignment vertical="center"/>
    </xf>
    <xf numFmtId="2" fontId="37" fillId="0" borderId="1" xfId="15" applyNumberFormat="1" applyFont="1" applyBorder="1" applyAlignment="1">
      <alignment horizontal="center" vertical="center"/>
    </xf>
    <xf numFmtId="166" fontId="37" fillId="0" borderId="1" xfId="6" applyFont="1" applyBorder="1" applyAlignment="1">
      <alignment horizontal="center" vertical="center"/>
    </xf>
    <xf numFmtId="43" fontId="37" fillId="0" borderId="1" xfId="6" applyNumberFormat="1" applyFont="1" applyBorder="1" applyAlignment="1">
      <alignment horizontal="center" vertical="center"/>
    </xf>
    <xf numFmtId="43" fontId="37" fillId="0" borderId="1" xfId="6" applyNumberFormat="1" applyFont="1" applyBorder="1" applyAlignment="1">
      <alignment vertical="center"/>
    </xf>
    <xf numFmtId="167" fontId="37" fillId="0" borderId="1" xfId="6" applyNumberFormat="1" applyFont="1" applyBorder="1" applyAlignment="1">
      <alignment horizontal="center" vertical="center"/>
    </xf>
    <xf numFmtId="0" fontId="37" fillId="0" borderId="0" xfId="15" applyFont="1" applyAlignment="1">
      <alignment horizontal="left" vertical="center"/>
    </xf>
    <xf numFmtId="43" fontId="9" fillId="0" borderId="1" xfId="25" applyFont="1" applyBorder="1" applyAlignment="1">
      <alignment horizontal="center" vertical="center"/>
    </xf>
    <xf numFmtId="167" fontId="9" fillId="0" borderId="1" xfId="25" applyNumberFormat="1" applyFont="1" applyBorder="1" applyAlignment="1">
      <alignment horizontal="center" vertical="center"/>
    </xf>
    <xf numFmtId="3" fontId="37" fillId="0" borderId="0" xfId="15" applyNumberFormat="1" applyFont="1" applyAlignment="1">
      <alignment horizontal="left" vertical="center"/>
    </xf>
    <xf numFmtId="0" fontId="37" fillId="0" borderId="0" xfId="15" applyFont="1" applyAlignment="1">
      <alignment horizontal="center" vertical="center"/>
    </xf>
    <xf numFmtId="3" fontId="37" fillId="0" borderId="0" xfId="15" applyNumberFormat="1" applyFont="1"/>
    <xf numFmtId="0" fontId="37" fillId="0" borderId="0" xfId="15" applyFont="1" applyAlignment="1">
      <alignment wrapText="1"/>
    </xf>
    <xf numFmtId="166" fontId="37" fillId="0" borderId="0" xfId="6" applyFont="1" applyAlignment="1">
      <alignment horizontal="center"/>
    </xf>
    <xf numFmtId="0" fontId="1" fillId="0" borderId="0" xfId="24"/>
    <xf numFmtId="0" fontId="21" fillId="0" borderId="0" xfId="24" applyFont="1" applyAlignment="1">
      <alignment horizontal="center" vertical="center"/>
    </xf>
    <xf numFmtId="167" fontId="23" fillId="0" borderId="0" xfId="24" applyNumberFormat="1" applyFont="1" applyAlignment="1">
      <alignment vertical="center"/>
    </xf>
    <xf numFmtId="0" fontId="23" fillId="0" borderId="0" xfId="24" applyFont="1" applyAlignment="1">
      <alignment vertical="center" wrapText="1"/>
    </xf>
    <xf numFmtId="0" fontId="21" fillId="0" borderId="0" xfId="24" applyFont="1" applyAlignment="1">
      <alignment horizontal="center" vertical="center" wrapText="1"/>
    </xf>
    <xf numFmtId="0" fontId="49" fillId="0" borderId="24" xfId="24" applyFont="1" applyBorder="1" applyAlignment="1">
      <alignment vertical="center" wrapText="1"/>
    </xf>
    <xf numFmtId="0" fontId="1" fillId="0" borderId="24" xfId="24" applyBorder="1"/>
    <xf numFmtId="0" fontId="36" fillId="0" borderId="24" xfId="24" applyFont="1" applyBorder="1" applyAlignment="1">
      <alignment horizontal="right"/>
    </xf>
    <xf numFmtId="0" fontId="58" fillId="0" borderId="1" xfId="24" applyFont="1" applyBorder="1" applyAlignment="1">
      <alignment vertical="center"/>
    </xf>
    <xf numFmtId="0" fontId="34" fillId="0" borderId="1" xfId="24" applyFont="1" applyBorder="1" applyAlignment="1">
      <alignment horizontal="left" vertical="center" wrapText="1"/>
    </xf>
    <xf numFmtId="167" fontId="34" fillId="0" borderId="1" xfId="24" applyNumberFormat="1" applyFont="1" applyBorder="1" applyAlignment="1">
      <alignment vertical="center"/>
    </xf>
    <xf numFmtId="0" fontId="1" fillId="0" borderId="0" xfId="24" applyAlignment="1">
      <alignment vertical="center"/>
    </xf>
    <xf numFmtId="0" fontId="21" fillId="8" borderId="1" xfId="24" applyFont="1" applyFill="1" applyBorder="1" applyAlignment="1">
      <alignment horizontal="center" vertical="center"/>
    </xf>
    <xf numFmtId="0" fontId="21" fillId="8" borderId="1" xfId="24" applyFont="1" applyFill="1" applyBorder="1" applyAlignment="1">
      <alignment horizontal="left" vertical="center" wrapText="1"/>
    </xf>
    <xf numFmtId="167" fontId="21" fillId="8" borderId="1" xfId="24" applyNumberFormat="1" applyFont="1" applyFill="1" applyBorder="1" applyAlignment="1">
      <alignment horizontal="right" vertical="center"/>
    </xf>
    <xf numFmtId="0" fontId="21" fillId="8" borderId="1" xfId="24" applyFont="1" applyFill="1" applyBorder="1" applyAlignment="1">
      <alignment vertical="center" wrapText="1"/>
    </xf>
    <xf numFmtId="0" fontId="1" fillId="0" borderId="0" xfId="24" applyAlignment="1">
      <alignment horizontal="center"/>
    </xf>
    <xf numFmtId="0" fontId="49" fillId="0" borderId="1" xfId="24" applyFont="1" applyBorder="1" applyAlignment="1">
      <alignment horizontal="center" vertical="center"/>
    </xf>
    <xf numFmtId="0" fontId="49" fillId="0" borderId="1" xfId="24" applyFont="1" applyBorder="1" applyAlignment="1">
      <alignment horizontal="left" vertical="center" wrapText="1"/>
    </xf>
    <xf numFmtId="167" fontId="23" fillId="0" borderId="1" xfId="24" applyNumberFormat="1" applyFont="1" applyBorder="1" applyAlignment="1">
      <alignment vertical="center"/>
    </xf>
    <xf numFmtId="167" fontId="49" fillId="0" borderId="1" xfId="24" applyNumberFormat="1" applyFont="1" applyBorder="1" applyAlignment="1">
      <alignment horizontal="right" vertical="center"/>
    </xf>
    <xf numFmtId="0" fontId="49" fillId="8" borderId="1" xfId="24" applyFont="1" applyFill="1" applyBorder="1" applyAlignment="1">
      <alignment horizontal="center" vertical="center" wrapText="1"/>
    </xf>
    <xf numFmtId="167" fontId="49" fillId="0" borderId="1" xfId="24" applyNumberFormat="1" applyFont="1" applyBorder="1" applyAlignment="1">
      <alignment vertical="center"/>
    </xf>
    <xf numFmtId="167" fontId="21" fillId="8" borderId="1" xfId="24" applyNumberFormat="1" applyFont="1" applyFill="1" applyBorder="1" applyAlignment="1">
      <alignment vertical="center"/>
    </xf>
    <xf numFmtId="0" fontId="49" fillId="8" borderId="1" xfId="24" applyFont="1" applyFill="1" applyBorder="1" applyAlignment="1">
      <alignment vertical="center" wrapText="1"/>
    </xf>
    <xf numFmtId="0" fontId="88" fillId="0" borderId="1" xfId="24" applyFont="1" applyBorder="1" applyAlignment="1">
      <alignment vertical="center"/>
    </xf>
    <xf numFmtId="167" fontId="88" fillId="0" borderId="1" xfId="24" applyNumberFormat="1" applyFont="1" applyBorder="1" applyAlignment="1">
      <alignment horizontal="right" vertical="center"/>
    </xf>
    <xf numFmtId="0" fontId="88" fillId="0" borderId="1" xfId="24" applyFont="1" applyBorder="1" applyAlignment="1">
      <alignment horizontal="left" vertical="center"/>
    </xf>
    <xf numFmtId="0" fontId="88" fillId="0" borderId="1" xfId="24" applyFont="1" applyBorder="1" applyAlignment="1">
      <alignment wrapText="1"/>
    </xf>
    <xf numFmtId="167" fontId="88" fillId="0" borderId="1" xfId="24" applyNumberFormat="1" applyFont="1" applyBorder="1" applyAlignment="1">
      <alignment horizontal="right"/>
    </xf>
    <xf numFmtId="0" fontId="88" fillId="0" borderId="1" xfId="24" applyFont="1" applyBorder="1" applyAlignment="1">
      <alignment horizontal="left" wrapText="1"/>
    </xf>
    <xf numFmtId="0" fontId="88" fillId="0" borderId="1" xfId="24" applyFont="1" applyBorder="1" applyAlignment="1">
      <alignment horizontal="left" vertical="center" wrapText="1"/>
    </xf>
    <xf numFmtId="0" fontId="49" fillId="0" borderId="1" xfId="24" applyFont="1" applyBorder="1" applyAlignment="1">
      <alignment horizontal="center" vertical="center" wrapText="1"/>
    </xf>
    <xf numFmtId="0" fontId="23" fillId="0" borderId="0" xfId="24" applyFont="1" applyAlignment="1">
      <alignment vertical="center"/>
    </xf>
    <xf numFmtId="167" fontId="57" fillId="0" borderId="0" xfId="24" applyNumberFormat="1" applyFont="1" applyAlignment="1">
      <alignment vertical="center"/>
    </xf>
    <xf numFmtId="0" fontId="49" fillId="0" borderId="0" xfId="24" applyFont="1" applyAlignment="1">
      <alignment vertical="center" wrapText="1"/>
    </xf>
    <xf numFmtId="167" fontId="89" fillId="0" borderId="0" xfId="24" applyNumberFormat="1" applyFont="1" applyAlignment="1">
      <alignment horizontal="center" vertical="center"/>
    </xf>
    <xf numFmtId="0" fontId="22" fillId="0" borderId="0" xfId="24" applyFont="1" applyAlignment="1">
      <alignment horizontal="center" vertical="center" wrapText="1"/>
    </xf>
    <xf numFmtId="0" fontId="9" fillId="0" borderId="0" xfId="0" applyFont="1" applyAlignment="1">
      <alignment horizontal="right"/>
    </xf>
    <xf numFmtId="0" fontId="21" fillId="0" borderId="0" xfId="0" applyFont="1"/>
    <xf numFmtId="3" fontId="36" fillId="0" borderId="1" xfId="0" applyNumberFormat="1" applyFont="1" applyBorder="1" applyAlignment="1">
      <alignment horizontal="left" vertical="center" wrapText="1"/>
    </xf>
    <xf numFmtId="3" fontId="23" fillId="0" borderId="1" xfId="0" applyNumberFormat="1" applyFont="1" applyBorder="1" applyAlignment="1">
      <alignment horizontal="right" vertical="center" wrapText="1"/>
    </xf>
    <xf numFmtId="3" fontId="24" fillId="0" borderId="1" xfId="0" applyNumberFormat="1" applyFont="1" applyBorder="1" applyAlignment="1">
      <alignment horizontal="right" vertical="center" wrapText="1"/>
    </xf>
    <xf numFmtId="0" fontId="9" fillId="0" borderId="1" xfId="24" applyFont="1" applyBorder="1" applyAlignment="1">
      <alignment horizontal="center" vertical="center" wrapText="1"/>
    </xf>
    <xf numFmtId="0" fontId="9" fillId="0" borderId="3" xfId="24" applyFont="1" applyBorder="1" applyAlignment="1">
      <alignment horizontal="center" vertical="center" wrapText="1"/>
    </xf>
    <xf numFmtId="0" fontId="37" fillId="0" borderId="1" xfId="24" applyFont="1" applyBorder="1" applyAlignment="1">
      <alignment horizontal="center" vertical="center" wrapText="1"/>
    </xf>
    <xf numFmtId="0" fontId="37" fillId="0" borderId="1" xfId="24" applyFont="1" applyBorder="1" applyAlignment="1">
      <alignment vertical="center" wrapText="1"/>
    </xf>
    <xf numFmtId="3" fontId="37" fillId="0" borderId="1" xfId="24" applyNumberFormat="1" applyFont="1" applyBorder="1" applyAlignment="1">
      <alignment horizontal="right" vertical="center" wrapText="1"/>
    </xf>
    <xf numFmtId="3" fontId="37" fillId="0" borderId="1" xfId="24" applyNumberFormat="1" applyFont="1" applyBorder="1" applyAlignment="1">
      <alignment vertical="center" wrapText="1"/>
    </xf>
    <xf numFmtId="3" fontId="48" fillId="0" borderId="1" xfId="24" applyNumberFormat="1" applyFont="1" applyBorder="1" applyAlignment="1">
      <alignment vertical="center" wrapText="1"/>
    </xf>
    <xf numFmtId="0" fontId="37" fillId="0" borderId="1" xfId="24" applyFont="1" applyBorder="1" applyAlignment="1">
      <alignment horizontal="justify" vertical="center" wrapText="1"/>
    </xf>
    <xf numFmtId="3" fontId="9" fillId="0" borderId="1" xfId="24" applyNumberFormat="1" applyFont="1" applyBorder="1" applyAlignment="1">
      <alignment horizontal="center" vertical="center" wrapText="1"/>
    </xf>
    <xf numFmtId="0" fontId="55" fillId="0" borderId="1" xfId="24" applyFont="1" applyBorder="1" applyAlignment="1">
      <alignment horizontal="justify" vertical="center" wrapText="1"/>
    </xf>
    <xf numFmtId="0" fontId="44" fillId="0" borderId="0" xfId="24" applyFont="1"/>
    <xf numFmtId="0" fontId="11" fillId="0" borderId="0" xfId="24" applyFont="1" applyAlignment="1">
      <alignment horizontal="right" vertical="center"/>
    </xf>
    <xf numFmtId="3" fontId="37" fillId="0" borderId="1" xfId="24" applyNumberFormat="1" applyFont="1" applyBorder="1" applyAlignment="1">
      <alignment horizontal="center" vertical="center" wrapText="1"/>
    </xf>
    <xf numFmtId="9" fontId="37" fillId="0" borderId="1" xfId="24" applyNumberFormat="1" applyFont="1" applyBorder="1" applyAlignment="1">
      <alignment horizontal="center" vertical="center" wrapText="1"/>
    </xf>
    <xf numFmtId="3" fontId="20" fillId="0" borderId="5" xfId="15" applyNumberFormat="1" applyFont="1" applyBorder="1" applyAlignment="1">
      <alignment horizontal="center"/>
    </xf>
    <xf numFmtId="0" fontId="14" fillId="0" borderId="0" xfId="15" applyFont="1" applyAlignment="1">
      <alignment vertical="center" wrapText="1"/>
    </xf>
    <xf numFmtId="0" fontId="32" fillId="2" borderId="1" xfId="3" applyFont="1" applyFill="1" applyBorder="1" applyAlignment="1">
      <alignment horizontal="center" vertical="center" wrapText="1"/>
    </xf>
    <xf numFmtId="0" fontId="32" fillId="2" borderId="1" xfId="3" applyFont="1" applyFill="1" applyBorder="1" applyAlignment="1">
      <alignment vertical="center" wrapText="1"/>
    </xf>
    <xf numFmtId="3" fontId="32" fillId="2" borderId="2" xfId="1" applyNumberFormat="1" applyFont="1" applyFill="1" applyBorder="1" applyAlignment="1">
      <alignment horizontal="right" vertical="center" wrapText="1"/>
    </xf>
    <xf numFmtId="167" fontId="17" fillId="0" borderId="1" xfId="3" applyNumberFormat="1" applyFont="1" applyBorder="1" applyAlignment="1">
      <alignment vertical="center"/>
    </xf>
    <xf numFmtId="167" fontId="17" fillId="0" borderId="2" xfId="3" applyNumberFormat="1" applyFont="1" applyBorder="1" applyAlignment="1">
      <alignment vertical="center"/>
    </xf>
    <xf numFmtId="0" fontId="17" fillId="0" borderId="2" xfId="3" applyFont="1" applyBorder="1"/>
    <xf numFmtId="168" fontId="26" fillId="2" borderId="2" xfId="4" applyNumberFormat="1" applyFont="1" applyFill="1" applyBorder="1" applyAlignment="1">
      <alignment vertical="center"/>
    </xf>
    <xf numFmtId="0" fontId="27" fillId="2" borderId="1" xfId="3" applyFont="1" applyFill="1" applyBorder="1"/>
    <xf numFmtId="0" fontId="17" fillId="2" borderId="0" xfId="3" applyFont="1" applyFill="1" applyAlignment="1">
      <alignment horizontal="center" vertical="center" wrapText="1"/>
    </xf>
    <xf numFmtId="0" fontId="17" fillId="2" borderId="0" xfId="3" applyFont="1" applyFill="1" applyAlignment="1">
      <alignment vertical="center" wrapText="1"/>
    </xf>
    <xf numFmtId="168" fontId="17" fillId="2" borderId="0" xfId="4" applyNumberFormat="1" applyFont="1" applyFill="1" applyAlignment="1">
      <alignment vertical="center"/>
    </xf>
    <xf numFmtId="0" fontId="17" fillId="2" borderId="0" xfId="3" applyFont="1" applyFill="1" applyAlignment="1">
      <alignment vertical="center"/>
    </xf>
    <xf numFmtId="0" fontId="17" fillId="2" borderId="0" xfId="3" applyFont="1" applyFill="1" applyAlignment="1">
      <alignment horizontal="center" vertical="center"/>
    </xf>
    <xf numFmtId="0" fontId="27" fillId="2" borderId="0" xfId="3" applyFont="1" applyFill="1" applyAlignment="1">
      <alignment horizontal="center" vertical="center"/>
    </xf>
    <xf numFmtId="168" fontId="26" fillId="2" borderId="1" xfId="4" applyNumberFormat="1" applyFont="1" applyFill="1" applyBorder="1" applyAlignment="1">
      <alignment horizontal="center" vertical="center" wrapText="1"/>
    </xf>
    <xf numFmtId="0" fontId="26" fillId="2" borderId="2" xfId="3" applyFont="1" applyFill="1" applyBorder="1" applyAlignment="1">
      <alignment horizontal="center" vertical="center" wrapText="1"/>
    </xf>
    <xf numFmtId="168" fontId="26" fillId="2" borderId="2" xfId="4" applyNumberFormat="1" applyFont="1" applyFill="1" applyBorder="1" applyAlignment="1">
      <alignment horizontal="center" vertical="center" wrapText="1"/>
    </xf>
    <xf numFmtId="0" fontId="26" fillId="2" borderId="2" xfId="3" applyFont="1" applyFill="1" applyBorder="1" applyAlignment="1">
      <alignment horizontal="left" vertical="center" wrapText="1"/>
    </xf>
    <xf numFmtId="3" fontId="17" fillId="2" borderId="1" xfId="3" applyNumberFormat="1" applyFont="1" applyFill="1" applyBorder="1" applyAlignment="1">
      <alignment horizontal="center" vertical="center"/>
    </xf>
    <xf numFmtId="168" fontId="17" fillId="2" borderId="0" xfId="3" applyNumberFormat="1" applyFont="1" applyFill="1"/>
    <xf numFmtId="168" fontId="26" fillId="2" borderId="1" xfId="4" applyNumberFormat="1" applyFont="1" applyFill="1" applyBorder="1" applyAlignment="1">
      <alignment vertical="center"/>
    </xf>
    <xf numFmtId="0" fontId="26" fillId="2" borderId="1" xfId="3" applyFont="1" applyFill="1" applyBorder="1" applyAlignment="1">
      <alignment vertical="center"/>
    </xf>
    <xf numFmtId="168" fontId="26" fillId="2" borderId="0" xfId="3" applyNumberFormat="1" applyFont="1" applyFill="1" applyAlignment="1">
      <alignment vertical="center"/>
    </xf>
    <xf numFmtId="0" fontId="26" fillId="2" borderId="0" xfId="3" applyFont="1" applyFill="1" applyAlignment="1">
      <alignment vertical="center"/>
    </xf>
    <xf numFmtId="168" fontId="17" fillId="2" borderId="2" xfId="4" applyNumberFormat="1" applyFont="1" applyFill="1" applyBorder="1" applyAlignment="1">
      <alignment horizontal="right" vertical="center"/>
    </xf>
    <xf numFmtId="168" fontId="28" fillId="2" borderId="2" xfId="4" applyNumberFormat="1" applyFont="1" applyFill="1" applyBorder="1" applyAlignment="1">
      <alignment horizontal="right" vertical="center" wrapText="1"/>
    </xf>
    <xf numFmtId="167" fontId="17" fillId="2" borderId="1" xfId="3" applyNumberFormat="1" applyFont="1" applyFill="1" applyBorder="1" applyAlignment="1">
      <alignment vertical="center"/>
    </xf>
    <xf numFmtId="167" fontId="17" fillId="2" borderId="2" xfId="3" applyNumberFormat="1" applyFont="1" applyFill="1" applyBorder="1" applyAlignment="1">
      <alignment vertical="center"/>
    </xf>
    <xf numFmtId="0" fontId="17" fillId="2" borderId="1" xfId="3" applyFont="1" applyFill="1" applyBorder="1" applyAlignment="1">
      <alignment vertical="center"/>
    </xf>
    <xf numFmtId="0" fontId="12" fillId="2" borderId="1" xfId="3" applyFont="1" applyFill="1" applyBorder="1" applyAlignment="1">
      <alignment horizontal="center" vertical="center" wrapText="1"/>
    </xf>
    <xf numFmtId="168" fontId="12" fillId="2" borderId="1" xfId="4" applyNumberFormat="1" applyFont="1" applyFill="1" applyBorder="1" applyAlignment="1">
      <alignment horizontal="right" vertical="center" wrapText="1"/>
    </xf>
    <xf numFmtId="3" fontId="12" fillId="2" borderId="1" xfId="3" applyNumberFormat="1" applyFont="1" applyFill="1" applyBorder="1" applyAlignment="1">
      <alignment horizontal="right" vertical="center" wrapText="1"/>
    </xf>
    <xf numFmtId="168" fontId="26" fillId="2" borderId="0" xfId="3" applyNumberFormat="1" applyFont="1" applyFill="1"/>
    <xf numFmtId="0" fontId="12" fillId="2" borderId="1" xfId="0" applyFont="1" applyFill="1" applyBorder="1" applyAlignment="1">
      <alignment vertical="center" wrapText="1"/>
    </xf>
    <xf numFmtId="49" fontId="12" fillId="2" borderId="1" xfId="0" applyNumberFormat="1" applyFont="1" applyFill="1" applyBorder="1" applyAlignment="1">
      <alignment horizontal="left" vertical="center" wrapText="1"/>
    </xf>
    <xf numFmtId="0" fontId="17" fillId="2" borderId="1" xfId="3" applyFont="1" applyFill="1" applyBorder="1" applyAlignment="1">
      <alignment horizontal="left" vertical="center" wrapText="1"/>
    </xf>
    <xf numFmtId="3" fontId="17" fillId="2" borderId="1" xfId="3" applyNumberFormat="1" applyFont="1" applyFill="1" applyBorder="1" applyAlignment="1">
      <alignment horizontal="right" vertical="center" wrapText="1"/>
    </xf>
    <xf numFmtId="0" fontId="27" fillId="2" borderId="1" xfId="1" applyFont="1" applyFill="1" applyBorder="1" applyAlignment="1">
      <alignment vertical="center"/>
    </xf>
    <xf numFmtId="168" fontId="17" fillId="2" borderId="1" xfId="4" applyNumberFormat="1" applyFont="1" applyFill="1" applyBorder="1" applyAlignment="1">
      <alignment horizontal="right" vertical="center" wrapText="1"/>
    </xf>
    <xf numFmtId="167" fontId="12" fillId="2" borderId="1" xfId="14" applyNumberFormat="1" applyFont="1" applyFill="1" applyBorder="1" applyAlignment="1">
      <alignment vertical="center"/>
    </xf>
    <xf numFmtId="168" fontId="12" fillId="2" borderId="1" xfId="4" applyNumberFormat="1" applyFont="1" applyFill="1" applyBorder="1" applyAlignment="1">
      <alignment horizontal="right" vertical="center"/>
    </xf>
    <xf numFmtId="167" fontId="12" fillId="2" borderId="1" xfId="3" applyNumberFormat="1" applyFont="1" applyFill="1" applyBorder="1" applyAlignment="1">
      <alignment vertical="center"/>
    </xf>
    <xf numFmtId="168" fontId="12" fillId="2" borderId="1" xfId="4" applyNumberFormat="1" applyFont="1" applyFill="1" applyBorder="1" applyAlignment="1">
      <alignment vertical="center"/>
    </xf>
    <xf numFmtId="0" fontId="12" fillId="2" borderId="1" xfId="3" applyFont="1" applyFill="1" applyBorder="1"/>
    <xf numFmtId="0" fontId="17" fillId="2" borderId="1" xfId="3" applyFont="1" applyFill="1" applyBorder="1"/>
    <xf numFmtId="168" fontId="17" fillId="2" borderId="1" xfId="4" applyNumberFormat="1" applyFont="1" applyFill="1" applyBorder="1" applyAlignment="1">
      <alignment horizontal="right" vertical="center"/>
    </xf>
    <xf numFmtId="0" fontId="28" fillId="2" borderId="1" xfId="1" applyFont="1" applyFill="1" applyBorder="1" applyAlignment="1">
      <alignment horizontal="center" vertical="center"/>
    </xf>
    <xf numFmtId="0" fontId="28" fillId="2" borderId="1" xfId="1" applyFont="1" applyFill="1" applyBorder="1" applyAlignment="1">
      <alignment horizontal="left" vertical="center" wrapText="1"/>
    </xf>
    <xf numFmtId="3" fontId="28" fillId="2" borderId="2" xfId="1" applyNumberFormat="1" applyFont="1" applyFill="1" applyBorder="1" applyAlignment="1">
      <alignment horizontal="right" vertical="center" wrapText="1"/>
    </xf>
    <xf numFmtId="0" fontId="28" fillId="0" borderId="1" xfId="3" applyFont="1" applyBorder="1" applyAlignment="1">
      <alignment vertical="center" wrapText="1"/>
    </xf>
    <xf numFmtId="3" fontId="28" fillId="0" borderId="1" xfId="1" applyNumberFormat="1" applyFont="1" applyBorder="1" applyAlignment="1">
      <alignment horizontal="right" vertical="center" wrapText="1"/>
    </xf>
    <xf numFmtId="0" fontId="27" fillId="0" borderId="1" xfId="1" applyFont="1" applyBorder="1" applyAlignment="1">
      <alignment horizontal="center" vertical="center"/>
    </xf>
    <xf numFmtId="167" fontId="28" fillId="0" borderId="1" xfId="14" applyNumberFormat="1" applyFont="1" applyBorder="1" applyAlignment="1">
      <alignment vertical="center"/>
    </xf>
    <xf numFmtId="168" fontId="28" fillId="0" borderId="1" xfId="4" applyNumberFormat="1" applyFont="1" applyBorder="1" applyAlignment="1">
      <alignment horizontal="right" vertical="center"/>
    </xf>
    <xf numFmtId="168" fontId="28" fillId="0" borderId="1" xfId="4" applyNumberFormat="1" applyFont="1" applyBorder="1" applyAlignment="1">
      <alignment horizontal="right"/>
    </xf>
    <xf numFmtId="0" fontId="28" fillId="2" borderId="1" xfId="3" applyFont="1" applyFill="1" applyBorder="1" applyAlignment="1">
      <alignment horizontal="left" vertical="center" wrapText="1"/>
    </xf>
    <xf numFmtId="0" fontId="28" fillId="0" borderId="1" xfId="1" applyFont="1" applyBorder="1" applyAlignment="1">
      <alignment horizontal="left" vertical="center" wrapText="1"/>
    </xf>
    <xf numFmtId="3" fontId="28" fillId="0" borderId="1" xfId="3" applyNumberFormat="1" applyFont="1" applyBorder="1" applyAlignment="1">
      <alignment horizontal="right" vertical="center" wrapText="1"/>
    </xf>
    <xf numFmtId="168" fontId="28" fillId="0" borderId="1" xfId="4" applyNumberFormat="1" applyFont="1" applyBorder="1" applyAlignment="1">
      <alignment horizontal="right" vertical="center" wrapText="1"/>
    </xf>
    <xf numFmtId="0" fontId="28" fillId="0" borderId="1" xfId="3" applyFont="1" applyBorder="1" applyAlignment="1">
      <alignment horizontal="center" vertical="center" wrapText="1"/>
    </xf>
    <xf numFmtId="0" fontId="28" fillId="0" borderId="0" xfId="3" applyFont="1" applyAlignment="1">
      <alignment vertical="center"/>
    </xf>
    <xf numFmtId="168" fontId="28" fillId="0" borderId="1" xfId="4" applyNumberFormat="1" applyFont="1" applyBorder="1" applyAlignment="1">
      <alignment vertical="center"/>
    </xf>
    <xf numFmtId="167" fontId="28" fillId="0" borderId="1" xfId="3" applyNumberFormat="1" applyFont="1" applyBorder="1" applyAlignment="1">
      <alignment vertical="center"/>
    </xf>
    <xf numFmtId="0" fontId="28" fillId="0" borderId="1" xfId="3" applyFont="1" applyBorder="1"/>
    <xf numFmtId="0" fontId="21" fillId="0" borderId="3" xfId="15" applyFont="1" applyBorder="1" applyAlignment="1">
      <alignment horizontal="center" vertical="center" wrapText="1"/>
    </xf>
    <xf numFmtId="0" fontId="21" fillId="0" borderId="6" xfId="15" applyFont="1" applyBorder="1" applyAlignment="1">
      <alignment vertical="center"/>
    </xf>
    <xf numFmtId="0" fontId="21" fillId="0" borderId="7" xfId="15" applyFont="1" applyBorder="1" applyAlignment="1">
      <alignment vertical="center"/>
    </xf>
    <xf numFmtId="43" fontId="21" fillId="0" borderId="1" xfId="6" applyNumberFormat="1" applyFont="1" applyFill="1" applyBorder="1" applyAlignment="1">
      <alignment horizontal="center" vertical="center" wrapText="1"/>
    </xf>
    <xf numFmtId="0" fontId="22" fillId="0" borderId="3" xfId="15" applyFont="1" applyBorder="1" applyAlignment="1">
      <alignment horizontal="center" vertical="center" wrapText="1"/>
    </xf>
    <xf numFmtId="49" fontId="23" fillId="0" borderId="1" xfId="6" applyNumberFormat="1" applyFont="1" applyFill="1" applyBorder="1" applyAlignment="1">
      <alignment horizontal="center" vertical="center" wrapText="1"/>
    </xf>
    <xf numFmtId="0" fontId="23" fillId="0" borderId="1" xfId="15" applyFont="1" applyBorder="1" applyAlignment="1">
      <alignment horizontal="center" vertical="center" wrapText="1"/>
    </xf>
    <xf numFmtId="3" fontId="23" fillId="0" borderId="1" xfId="15" applyNumberFormat="1" applyFont="1" applyBorder="1" applyAlignment="1">
      <alignment horizontal="center" vertical="center" wrapText="1"/>
    </xf>
    <xf numFmtId="49" fontId="31" fillId="0" borderId="1" xfId="6" applyNumberFormat="1" applyFont="1" applyFill="1" applyBorder="1" applyAlignment="1">
      <alignment horizontal="center" vertical="center" wrapText="1"/>
    </xf>
    <xf numFmtId="0" fontId="21" fillId="0" borderId="1" xfId="15" applyFont="1" applyBorder="1" applyAlignment="1">
      <alignment horizontal="center" vertical="center"/>
    </xf>
    <xf numFmtId="0" fontId="21" fillId="0" borderId="1" xfId="15" applyFont="1" applyBorder="1" applyAlignment="1">
      <alignment horizontal="left" vertical="center" wrapText="1"/>
    </xf>
    <xf numFmtId="4" fontId="21" fillId="0" borderId="1" xfId="15" applyNumberFormat="1" applyFont="1" applyBorder="1" applyAlignment="1">
      <alignment horizontal="center" vertical="center"/>
    </xf>
    <xf numFmtId="171" fontId="21" fillId="0" borderId="1" xfId="15" applyNumberFormat="1" applyFont="1" applyBorder="1" applyAlignment="1">
      <alignment horizontal="center" vertical="center"/>
    </xf>
    <xf numFmtId="3" fontId="21" fillId="0" borderId="1" xfId="15" applyNumberFormat="1" applyFont="1" applyBorder="1" applyAlignment="1">
      <alignment horizontal="center" vertical="center"/>
    </xf>
    <xf numFmtId="0" fontId="23" fillId="0" borderId="1" xfId="15" applyFont="1" applyBorder="1" applyAlignment="1">
      <alignment horizontal="center" vertical="center"/>
    </xf>
    <xf numFmtId="0" fontId="23" fillId="0" borderId="1" xfId="15" applyFont="1" applyBorder="1" applyAlignment="1">
      <alignment horizontal="left" vertical="center" wrapText="1"/>
    </xf>
    <xf numFmtId="2" fontId="23" fillId="0" borderId="1" xfId="15" applyNumberFormat="1" applyFont="1" applyBorder="1" applyAlignment="1">
      <alignment horizontal="center" vertical="center"/>
    </xf>
    <xf numFmtId="43" fontId="23" fillId="0" borderId="1" xfId="15" applyNumberFormat="1" applyFont="1" applyBorder="1" applyAlignment="1">
      <alignment horizontal="center" vertical="center"/>
    </xf>
    <xf numFmtId="43" fontId="23" fillId="0" borderId="1" xfId="6" applyNumberFormat="1" applyFont="1" applyFill="1" applyBorder="1" applyAlignment="1">
      <alignment horizontal="center" vertical="center"/>
    </xf>
    <xf numFmtId="167" fontId="23" fillId="0" borderId="1" xfId="6" applyNumberFormat="1" applyFont="1" applyFill="1" applyBorder="1" applyAlignment="1">
      <alignment horizontal="center" vertical="center"/>
    </xf>
    <xf numFmtId="3" fontId="23" fillId="0" borderId="1" xfId="6" applyNumberFormat="1" applyFont="1" applyFill="1" applyBorder="1" applyAlignment="1">
      <alignment horizontal="center" vertical="center"/>
    </xf>
    <xf numFmtId="167" fontId="23" fillId="0" borderId="1" xfId="15" applyNumberFormat="1" applyFont="1" applyBorder="1" applyAlignment="1">
      <alignment horizontal="left" vertical="center"/>
    </xf>
    <xf numFmtId="0" fontId="23" fillId="0" borderId="1" xfId="15" applyFont="1" applyBorder="1" applyAlignment="1">
      <alignment horizontal="left" vertical="center"/>
    </xf>
    <xf numFmtId="170" fontId="23" fillId="0" borderId="1" xfId="15" applyNumberFormat="1" applyFont="1" applyBorder="1" applyAlignment="1">
      <alignment horizontal="center" vertical="center"/>
    </xf>
    <xf numFmtId="166" fontId="23" fillId="0" borderId="1" xfId="15" applyNumberFormat="1" applyFont="1" applyBorder="1" applyAlignment="1">
      <alignment horizontal="center" vertical="center"/>
    </xf>
    <xf numFmtId="166" fontId="23" fillId="0" borderId="1" xfId="6" applyFont="1" applyFill="1" applyBorder="1" applyAlignment="1">
      <alignment horizontal="center" vertical="center"/>
    </xf>
    <xf numFmtId="3" fontId="21" fillId="0" borderId="1" xfId="15" applyNumberFormat="1" applyFont="1" applyBorder="1" applyAlignment="1">
      <alignment horizontal="right" vertical="center"/>
    </xf>
    <xf numFmtId="167" fontId="21" fillId="0" borderId="1" xfId="6" applyNumberFormat="1" applyFont="1" applyFill="1" applyBorder="1" applyAlignment="1">
      <alignment horizontal="right" vertical="center"/>
    </xf>
    <xf numFmtId="3" fontId="23" fillId="0" borderId="1" xfId="15" applyNumberFormat="1" applyFont="1" applyBorder="1" applyAlignment="1">
      <alignment horizontal="center" vertical="center"/>
    </xf>
    <xf numFmtId="3" fontId="24" fillId="0" borderId="1" xfId="6" applyNumberFormat="1" applyFont="1" applyFill="1" applyBorder="1" applyAlignment="1">
      <alignment horizontal="center" vertical="center"/>
    </xf>
    <xf numFmtId="0" fontId="24" fillId="0" borderId="1" xfId="15" applyFont="1" applyBorder="1" applyAlignment="1">
      <alignment horizontal="left" vertical="center"/>
    </xf>
    <xf numFmtId="3" fontId="21" fillId="0" borderId="1" xfId="6" applyNumberFormat="1" applyFont="1" applyFill="1" applyBorder="1" applyAlignment="1">
      <alignment horizontal="right" vertical="center"/>
    </xf>
    <xf numFmtId="3" fontId="21" fillId="0" borderId="1" xfId="6" applyNumberFormat="1" applyFont="1" applyFill="1" applyBorder="1" applyAlignment="1">
      <alignment horizontal="center" vertical="center"/>
    </xf>
    <xf numFmtId="0" fontId="25" fillId="0" borderId="1" xfId="0" applyFont="1" applyBorder="1" applyAlignment="1" applyProtection="1">
      <alignment horizontal="left" vertical="center" wrapText="1" shrinkToFit="1"/>
      <protection locked="0"/>
    </xf>
    <xf numFmtId="3" fontId="25" fillId="0" borderId="1" xfId="0" applyNumberFormat="1" applyFont="1" applyBorder="1" applyAlignment="1" applyProtection="1">
      <alignment horizontal="right" vertical="center" wrapText="1" shrinkToFit="1"/>
      <protection locked="0"/>
    </xf>
    <xf numFmtId="0" fontId="25" fillId="0" borderId="1" xfId="0" applyFont="1" applyBorder="1" applyAlignment="1" applyProtection="1">
      <alignment vertical="center" wrapText="1" shrinkToFit="1"/>
      <protection locked="0"/>
    </xf>
    <xf numFmtId="0" fontId="21" fillId="0" borderId="1" xfId="15" applyFont="1" applyBorder="1" applyAlignment="1">
      <alignment horizontal="center" vertical="center" wrapText="1"/>
    </xf>
    <xf numFmtId="3" fontId="24" fillId="0" borderId="1" xfId="15" applyNumberFormat="1" applyFont="1" applyBorder="1" applyAlignment="1">
      <alignment horizontal="center" vertical="center"/>
    </xf>
    <xf numFmtId="4" fontId="24" fillId="0" borderId="1" xfId="15" applyNumberFormat="1" applyFont="1" applyBorder="1" applyAlignment="1">
      <alignment horizontal="center" vertical="center"/>
    </xf>
    <xf numFmtId="3" fontId="24" fillId="0" borderId="1" xfId="4" applyNumberFormat="1" applyFont="1" applyFill="1" applyBorder="1" applyAlignment="1">
      <alignment horizontal="center" vertical="center"/>
    </xf>
    <xf numFmtId="167" fontId="21" fillId="0" borderId="1" xfId="6" applyNumberFormat="1" applyFont="1" applyFill="1" applyBorder="1" applyAlignment="1">
      <alignment horizontal="center" vertical="center"/>
    </xf>
    <xf numFmtId="43" fontId="16" fillId="0" borderId="0" xfId="6" applyNumberFormat="1" applyFont="1" applyFill="1" applyAlignment="1">
      <alignment horizontal="center"/>
    </xf>
    <xf numFmtId="49" fontId="21" fillId="0" borderId="0" xfId="6" applyNumberFormat="1" applyFont="1" applyFill="1" applyAlignment="1">
      <alignment horizontal="center" vertical="center" wrapText="1"/>
    </xf>
    <xf numFmtId="167" fontId="23" fillId="0" borderId="0" xfId="15" applyNumberFormat="1" applyFont="1" applyAlignment="1">
      <alignment horizontal="left" vertical="center"/>
    </xf>
    <xf numFmtId="43" fontId="23" fillId="0" borderId="0" xfId="6" applyNumberFormat="1" applyFont="1" applyFill="1" applyAlignment="1">
      <alignment horizontal="center"/>
    </xf>
    <xf numFmtId="43" fontId="16" fillId="0" borderId="0" xfId="6" applyNumberFormat="1" applyFont="1" applyFill="1"/>
    <xf numFmtId="43" fontId="23" fillId="0" borderId="0" xfId="6" applyNumberFormat="1" applyFont="1" applyFill="1"/>
    <xf numFmtId="0" fontId="17" fillId="2" borderId="1" xfId="13" applyFont="1" applyFill="1" applyBorder="1" applyAlignment="1">
      <alignment vertical="center" wrapText="1"/>
    </xf>
    <xf numFmtId="0" fontId="90" fillId="2" borderId="0" xfId="0" applyFont="1" applyFill="1"/>
    <xf numFmtId="0" fontId="91" fillId="2" borderId="1" xfId="0" applyFont="1" applyFill="1" applyBorder="1" applyAlignment="1">
      <alignment vertical="center" wrapText="1"/>
    </xf>
    <xf numFmtId="168" fontId="38" fillId="2" borderId="1" xfId="4" applyNumberFormat="1" applyFont="1" applyFill="1" applyBorder="1" applyAlignment="1">
      <alignment vertical="center"/>
    </xf>
    <xf numFmtId="3" fontId="38" fillId="2" borderId="1" xfId="0" applyNumberFormat="1" applyFont="1" applyFill="1" applyBorder="1" applyAlignment="1">
      <alignment vertical="center"/>
    </xf>
    <xf numFmtId="3" fontId="38" fillId="2" borderId="2" xfId="0" applyNumberFormat="1" applyFont="1" applyFill="1" applyBorder="1" applyAlignment="1">
      <alignment vertical="center"/>
    </xf>
    <xf numFmtId="0" fontId="17" fillId="2" borderId="1" xfId="1" applyFont="1" applyFill="1" applyBorder="1" applyAlignment="1">
      <alignment vertical="center"/>
    </xf>
    <xf numFmtId="0" fontId="91" fillId="2" borderId="1" xfId="0" applyFont="1" applyFill="1" applyBorder="1" applyAlignment="1">
      <alignment vertical="center"/>
    </xf>
    <xf numFmtId="0" fontId="92" fillId="2" borderId="1" xfId="0" applyFont="1" applyFill="1" applyBorder="1" applyAlignment="1">
      <alignment vertical="center" wrapText="1"/>
    </xf>
    <xf numFmtId="0" fontId="93" fillId="2" borderId="0" xfId="0" applyFont="1" applyFill="1"/>
    <xf numFmtId="0" fontId="17" fillId="0" borderId="1" xfId="13" applyFont="1" applyBorder="1" applyAlignment="1">
      <alignment vertical="center" wrapText="1"/>
    </xf>
    <xf numFmtId="0" fontId="17" fillId="0" borderId="1" xfId="0" applyFont="1" applyBorder="1" applyAlignment="1">
      <alignment horizontal="left" vertical="center" wrapText="1"/>
    </xf>
    <xf numFmtId="168" fontId="94" fillId="0" borderId="1" xfId="4" applyNumberFormat="1" applyFont="1" applyBorder="1" applyAlignment="1">
      <alignment vertical="center"/>
    </xf>
    <xf numFmtId="0" fontId="27" fillId="0" borderId="1" xfId="0" applyFont="1" applyBorder="1" applyAlignment="1">
      <alignment horizontal="left" vertical="center" wrapText="1"/>
    </xf>
    <xf numFmtId="0" fontId="95" fillId="0" borderId="0" xfId="0" applyFont="1" applyAlignment="1">
      <alignment horizontal="center" vertical="center"/>
    </xf>
    <xf numFmtId="0" fontId="95" fillId="0" borderId="0" xfId="0" applyFont="1" applyAlignment="1">
      <alignment horizontal="left" vertical="center"/>
    </xf>
    <xf numFmtId="0" fontId="95" fillId="0" borderId="0" xfId="0" applyFont="1" applyAlignment="1">
      <alignment vertical="center"/>
    </xf>
    <xf numFmtId="0" fontId="17" fillId="0" borderId="0" xfId="0" applyFont="1" applyAlignment="1">
      <alignment vertical="center"/>
    </xf>
    <xf numFmtId="0" fontId="96" fillId="0" borderId="0" xfId="0" applyFont="1"/>
    <xf numFmtId="0" fontId="17" fillId="0" borderId="0" xfId="1" applyFont="1" applyAlignment="1">
      <alignment horizontal="center" vertical="center"/>
    </xf>
    <xf numFmtId="0" fontId="17" fillId="0" borderId="0" xfId="1" applyFont="1" applyAlignment="1">
      <alignment horizontal="left" vertical="center"/>
    </xf>
    <xf numFmtId="0" fontId="17" fillId="0" borderId="0" xfId="1" applyFont="1" applyAlignment="1">
      <alignment vertical="center"/>
    </xf>
    <xf numFmtId="0" fontId="97" fillId="0" borderId="0" xfId="0" applyFont="1"/>
    <xf numFmtId="0" fontId="97" fillId="2" borderId="0" xfId="0" applyFont="1" applyFill="1"/>
    <xf numFmtId="0" fontId="98" fillId="0" borderId="0" xfId="0" applyFont="1"/>
    <xf numFmtId="0" fontId="99" fillId="0" borderId="1" xfId="0" applyFont="1" applyBorder="1" applyAlignment="1">
      <alignment vertical="center" wrapText="1"/>
    </xf>
    <xf numFmtId="0" fontId="16" fillId="0" borderId="0" xfId="1" applyFont="1"/>
    <xf numFmtId="0" fontId="95" fillId="2" borderId="1" xfId="0" applyFont="1" applyFill="1" applyBorder="1"/>
    <xf numFmtId="0" fontId="96" fillId="2" borderId="0" xfId="0" applyFont="1" applyFill="1"/>
    <xf numFmtId="0" fontId="95" fillId="0" borderId="1" xfId="0" applyFont="1" applyBorder="1" applyAlignment="1">
      <alignment vertical="center"/>
    </xf>
    <xf numFmtId="0" fontId="99" fillId="0" borderId="1" xfId="0" applyFont="1" applyBorder="1" applyAlignment="1">
      <alignment vertical="center"/>
    </xf>
    <xf numFmtId="0" fontId="96" fillId="0" borderId="0" xfId="0" applyFont="1" applyAlignment="1">
      <alignment horizontal="center" vertical="center"/>
    </xf>
    <xf numFmtId="0" fontId="96" fillId="0" borderId="0" xfId="0" applyFont="1" applyAlignment="1">
      <alignment horizontal="left" vertical="center"/>
    </xf>
    <xf numFmtId="0" fontId="96" fillId="0" borderId="0" xfId="0" applyFont="1" applyAlignment="1">
      <alignment vertical="center"/>
    </xf>
    <xf numFmtId="3" fontId="96" fillId="0" borderId="0" xfId="0" applyNumberFormat="1" applyFont="1"/>
    <xf numFmtId="3" fontId="17" fillId="0" borderId="3" xfId="1" applyNumberFormat="1" applyFont="1" applyBorder="1" applyAlignment="1">
      <alignment horizontal="center" vertical="center" wrapText="1"/>
    </xf>
    <xf numFmtId="165" fontId="17" fillId="2" borderId="3" xfId="3" applyNumberFormat="1" applyFont="1" applyFill="1" applyBorder="1" applyAlignment="1">
      <alignment horizontal="center" vertical="center" wrapText="1"/>
    </xf>
    <xf numFmtId="165" fontId="17" fillId="2" borderId="8" xfId="3" applyNumberFormat="1" applyFont="1" applyFill="1" applyBorder="1" applyAlignment="1">
      <alignment horizontal="center" vertical="center" wrapText="1"/>
    </xf>
    <xf numFmtId="165" fontId="17" fillId="2" borderId="2" xfId="3" applyNumberFormat="1" applyFont="1" applyFill="1" applyBorder="1" applyAlignment="1">
      <alignment horizontal="center" vertical="center" wrapText="1"/>
    </xf>
    <xf numFmtId="0" fontId="26" fillId="2" borderId="0" xfId="3" applyFont="1" applyFill="1" applyAlignment="1">
      <alignment horizontal="center" vertical="center" wrapText="1"/>
    </xf>
    <xf numFmtId="0" fontId="26" fillId="2" borderId="0" xfId="3" applyFont="1" applyFill="1" applyAlignment="1">
      <alignment horizontal="center" vertical="center"/>
    </xf>
    <xf numFmtId="3" fontId="21" fillId="0" borderId="3" xfId="15" applyNumberFormat="1" applyFont="1" applyBorder="1" applyAlignment="1">
      <alignment horizontal="center" vertical="center" wrapText="1"/>
    </xf>
    <xf numFmtId="3" fontId="21" fillId="0" borderId="2" xfId="15" applyNumberFormat="1" applyFont="1" applyBorder="1" applyAlignment="1">
      <alignment horizontal="center" vertical="center" wrapText="1"/>
    </xf>
    <xf numFmtId="0" fontId="22" fillId="0" borderId="6" xfId="15" applyFont="1" applyBorder="1" applyAlignment="1">
      <alignment horizontal="left" vertical="center" wrapText="1"/>
    </xf>
    <xf numFmtId="0" fontId="22" fillId="0" borderId="4" xfId="15" applyFont="1" applyBorder="1" applyAlignment="1">
      <alignment horizontal="left" vertical="center" wrapText="1"/>
    </xf>
    <xf numFmtId="0" fontId="22" fillId="0" borderId="7" xfId="15" applyFont="1" applyBorder="1" applyAlignment="1">
      <alignment horizontal="left" vertical="center" wrapText="1"/>
    </xf>
    <xf numFmtId="0" fontId="16" fillId="0" borderId="0" xfId="15" applyFont="1" applyAlignment="1">
      <alignment horizontal="center"/>
    </xf>
    <xf numFmtId="0" fontId="14" fillId="0" borderId="0" xfId="15" applyFont="1" applyAlignment="1">
      <alignment horizontal="center"/>
    </xf>
    <xf numFmtId="0" fontId="14" fillId="0" borderId="0" xfId="15" applyFont="1" applyAlignment="1">
      <alignment horizontal="center" vertical="center" wrapText="1"/>
    </xf>
    <xf numFmtId="0" fontId="21" fillId="0" borderId="3" xfId="15" applyFont="1" applyBorder="1" applyAlignment="1">
      <alignment horizontal="center" vertical="center" wrapText="1"/>
    </xf>
    <xf numFmtId="0" fontId="21" fillId="0" borderId="2" xfId="15" applyFont="1" applyBorder="1" applyAlignment="1">
      <alignment horizontal="center" vertical="center" wrapText="1"/>
    </xf>
    <xf numFmtId="0" fontId="21" fillId="0" borderId="6" xfId="15" applyFont="1" applyBorder="1" applyAlignment="1">
      <alignment horizontal="center" vertical="center"/>
    </xf>
    <xf numFmtId="0" fontId="21" fillId="0" borderId="4" xfId="15" applyFont="1" applyBorder="1" applyAlignment="1">
      <alignment horizontal="center" vertical="center"/>
    </xf>
    <xf numFmtId="0" fontId="26" fillId="0" borderId="0" xfId="1" applyFont="1" applyAlignment="1">
      <alignment horizontal="center" vertical="center"/>
    </xf>
    <xf numFmtId="3" fontId="17" fillId="0" borderId="3" xfId="1" applyNumberFormat="1" applyFont="1" applyBorder="1" applyAlignment="1">
      <alignment horizontal="center" vertical="center" wrapText="1"/>
    </xf>
    <xf numFmtId="3" fontId="17" fillId="0" borderId="8" xfId="1" applyNumberFormat="1" applyFont="1" applyBorder="1" applyAlignment="1">
      <alignment horizontal="center" vertical="center" wrapText="1"/>
    </xf>
    <xf numFmtId="3" fontId="17" fillId="0" borderId="2" xfId="1" applyNumberFormat="1" applyFont="1" applyBorder="1" applyAlignment="1">
      <alignment horizontal="center" vertical="center" wrapText="1"/>
    </xf>
    <xf numFmtId="0" fontId="12" fillId="0" borderId="5" xfId="1" applyFont="1" applyBorder="1" applyAlignment="1">
      <alignment horizontal="center" vertical="center"/>
    </xf>
    <xf numFmtId="0" fontId="45" fillId="0" borderId="0" xfId="20" applyFont="1" applyAlignment="1">
      <alignment horizontal="center" vertical="center"/>
    </xf>
    <xf numFmtId="0" fontId="46" fillId="0" borderId="1" xfId="20" applyFont="1" applyBorder="1" applyAlignment="1">
      <alignment horizontal="center" vertical="center" wrapText="1"/>
    </xf>
    <xf numFmtId="0" fontId="9" fillId="0" borderId="1" xfId="20" applyFont="1" applyBorder="1" applyAlignment="1">
      <alignment horizontal="center" vertical="center" wrapText="1"/>
    </xf>
    <xf numFmtId="0" fontId="9" fillId="0" borderId="0" xfId="20" applyFont="1" applyAlignment="1">
      <alignment horizontal="center"/>
    </xf>
    <xf numFmtId="0" fontId="9" fillId="0" borderId="0" xfId="20" applyFont="1" applyAlignment="1">
      <alignment horizontal="center" vertical="center"/>
    </xf>
    <xf numFmtId="0" fontId="9" fillId="0" borderId="0" xfId="20" applyFont="1" applyAlignment="1">
      <alignment horizontal="center" vertical="center" wrapText="1"/>
    </xf>
    <xf numFmtId="0" fontId="49" fillId="0" borderId="5" xfId="20" applyFont="1" applyBorder="1" applyAlignment="1">
      <alignment horizontal="center"/>
    </xf>
    <xf numFmtId="0" fontId="6" fillId="0" borderId="0" xfId="20" applyFont="1" applyAlignment="1">
      <alignment horizontal="center" vertical="center" wrapText="1"/>
    </xf>
    <xf numFmtId="9" fontId="37" fillId="0" borderId="1" xfId="20" applyNumberFormat="1" applyFont="1" applyBorder="1" applyAlignment="1">
      <alignment horizontal="center" vertical="center" wrapText="1"/>
    </xf>
    <xf numFmtId="0" fontId="37" fillId="0" borderId="1" xfId="20" applyFont="1" applyBorder="1" applyAlignment="1">
      <alignment horizontal="center" vertical="center" wrapText="1"/>
    </xf>
    <xf numFmtId="0" fontId="37" fillId="0" borderId="1" xfId="20" applyFont="1" applyBorder="1" applyAlignment="1">
      <alignment horizontal="justify" vertical="center" wrapText="1"/>
    </xf>
    <xf numFmtId="0" fontId="6" fillId="0" borderId="0" xfId="20" applyFont="1" applyAlignment="1">
      <alignment horizontal="center" vertical="center"/>
    </xf>
    <xf numFmtId="0" fontId="6" fillId="0" borderId="1" xfId="20" applyFont="1" applyBorder="1" applyAlignment="1">
      <alignment horizontal="center" vertical="center" wrapText="1"/>
    </xf>
    <xf numFmtId="3" fontId="58" fillId="0" borderId="1" xfId="20" applyNumberFormat="1" applyFont="1" applyBorder="1" applyAlignment="1">
      <alignment horizontal="center" vertical="center" wrapText="1"/>
    </xf>
    <xf numFmtId="0" fontId="34" fillId="0" borderId="0" xfId="20" applyFont="1" applyAlignment="1">
      <alignment horizontal="center" vertical="center"/>
    </xf>
    <xf numFmtId="0" fontId="34" fillId="0" borderId="0" xfId="20" applyFont="1" applyAlignment="1">
      <alignment horizontal="center" vertical="center" wrapText="1"/>
    </xf>
    <xf numFmtId="0" fontId="60" fillId="0" borderId="5" xfId="20" applyFont="1" applyBorder="1" applyAlignment="1">
      <alignment horizontal="right" vertical="center"/>
    </xf>
    <xf numFmtId="0" fontId="34" fillId="0" borderId="1" xfId="20" applyFont="1" applyBorder="1" applyAlignment="1">
      <alignment horizontal="center" vertical="center" wrapText="1"/>
    </xf>
    <xf numFmtId="0" fontId="34" fillId="0" borderId="3" xfId="20" applyFont="1" applyBorder="1" applyAlignment="1">
      <alignment horizontal="center" vertical="center" wrapText="1"/>
    </xf>
    <xf numFmtId="0" fontId="34" fillId="0" borderId="2" xfId="20" applyFont="1" applyBorder="1" applyAlignment="1">
      <alignment horizontal="center" vertical="center" wrapText="1"/>
    </xf>
    <xf numFmtId="0" fontId="58" fillId="0" borderId="1" xfId="20" applyFont="1" applyBorder="1" applyAlignment="1">
      <alignment horizontal="left" vertical="center" wrapText="1"/>
    </xf>
    <xf numFmtId="3" fontId="58" fillId="0" borderId="6" xfId="20" applyNumberFormat="1" applyFont="1" applyBorder="1" applyAlignment="1">
      <alignment horizontal="center" vertical="center" wrapText="1"/>
    </xf>
    <xf numFmtId="3" fontId="58" fillId="0" borderId="7" xfId="20" applyNumberFormat="1" applyFont="1" applyBorder="1" applyAlignment="1">
      <alignment horizontal="center" vertical="center" wrapText="1"/>
    </xf>
    <xf numFmtId="0" fontId="9" fillId="0" borderId="3" xfId="20" applyFont="1" applyBorder="1" applyAlignment="1">
      <alignment horizontal="center" vertical="center" wrapText="1"/>
    </xf>
    <xf numFmtId="0" fontId="9" fillId="0" borderId="2" xfId="20" applyFont="1" applyBorder="1" applyAlignment="1">
      <alignment horizontal="center" vertical="center" wrapText="1"/>
    </xf>
    <xf numFmtId="0" fontId="53" fillId="0" borderId="6" xfId="20" applyFont="1" applyBorder="1" applyAlignment="1">
      <alignment horizontal="left" vertical="center" wrapText="1"/>
    </xf>
    <xf numFmtId="0" fontId="53" fillId="0" borderId="4" xfId="20" applyFont="1" applyBorder="1" applyAlignment="1">
      <alignment horizontal="left" vertical="center" wrapText="1"/>
    </xf>
    <xf numFmtId="0" fontId="53" fillId="0" borderId="7" xfId="20" applyFont="1" applyBorder="1" applyAlignment="1">
      <alignment horizontal="left" vertical="center" wrapText="1"/>
    </xf>
    <xf numFmtId="0" fontId="21" fillId="0" borderId="0" xfId="20" applyFont="1" applyAlignment="1">
      <alignment horizontal="center" vertical="center"/>
    </xf>
    <xf numFmtId="0" fontId="49" fillId="0" borderId="5" xfId="20" applyFont="1" applyBorder="1" applyAlignment="1">
      <alignment horizontal="right"/>
    </xf>
    <xf numFmtId="167" fontId="9" fillId="0" borderId="4" xfId="22" applyNumberFormat="1" applyFont="1" applyBorder="1" applyAlignment="1">
      <alignment horizontal="center" vertical="center" wrapText="1"/>
    </xf>
    <xf numFmtId="167" fontId="9" fillId="0" borderId="7" xfId="22" applyNumberFormat="1" applyFont="1" applyBorder="1" applyAlignment="1">
      <alignment horizontal="center" vertical="center" wrapText="1"/>
    </xf>
    <xf numFmtId="167" fontId="9" fillId="0" borderId="3" xfId="22" applyNumberFormat="1" applyFont="1" applyBorder="1" applyAlignment="1">
      <alignment horizontal="center" vertical="center" wrapText="1"/>
    </xf>
    <xf numFmtId="167" fontId="9" fillId="0" borderId="2" xfId="22" applyNumberFormat="1" applyFont="1" applyBorder="1" applyAlignment="1">
      <alignment horizontal="center" vertical="center" wrapText="1"/>
    </xf>
    <xf numFmtId="3" fontId="66" fillId="5" borderId="16" xfId="23" applyNumberFormat="1" applyFont="1" applyFill="1" applyBorder="1" applyAlignment="1">
      <alignment horizontal="center" vertical="center"/>
    </xf>
    <xf numFmtId="0" fontId="43" fillId="0" borderId="16" xfId="23" applyFont="1" applyBorder="1"/>
    <xf numFmtId="0" fontId="9" fillId="0" borderId="0" xfId="0" applyFont="1" applyAlignment="1">
      <alignment horizontal="center" vertical="center"/>
    </xf>
    <xf numFmtId="3" fontId="62" fillId="5" borderId="11" xfId="23" applyNumberFormat="1" applyFont="1" applyFill="1" applyBorder="1" applyAlignment="1">
      <alignment horizontal="center" vertical="center"/>
    </xf>
    <xf numFmtId="3" fontId="62" fillId="5" borderId="12" xfId="23" applyNumberFormat="1" applyFont="1" applyFill="1" applyBorder="1" applyAlignment="1">
      <alignment horizontal="center" vertical="center"/>
    </xf>
    <xf numFmtId="3" fontId="62" fillId="5" borderId="13" xfId="23" applyNumberFormat="1" applyFont="1" applyFill="1" applyBorder="1" applyAlignment="1">
      <alignment horizontal="center" vertical="center"/>
    </xf>
    <xf numFmtId="3" fontId="62" fillId="5" borderId="14" xfId="23" applyNumberFormat="1" applyFont="1" applyFill="1" applyBorder="1" applyAlignment="1">
      <alignment horizontal="center" vertical="center"/>
    </xf>
    <xf numFmtId="3" fontId="64" fillId="5" borderId="15" xfId="23" applyNumberFormat="1" applyFont="1" applyFill="1" applyBorder="1" applyAlignment="1">
      <alignment horizontal="right"/>
    </xf>
    <xf numFmtId="0" fontId="61" fillId="0" borderId="15" xfId="23" applyFont="1" applyBorder="1"/>
    <xf numFmtId="0" fontId="49" fillId="0" borderId="5" xfId="0" applyFont="1" applyBorder="1" applyAlignment="1">
      <alignment horizontal="right"/>
    </xf>
    <xf numFmtId="0" fontId="66" fillId="5" borderId="16" xfId="23" applyFont="1" applyFill="1" applyBorder="1" applyAlignment="1">
      <alignment horizontal="center" vertical="center"/>
    </xf>
    <xf numFmtId="167" fontId="66" fillId="5" borderId="16" xfId="4" applyNumberFormat="1" applyFont="1" applyFill="1" applyBorder="1" applyAlignment="1">
      <alignment horizontal="center" vertical="center"/>
    </xf>
    <xf numFmtId="167" fontId="43" fillId="0" borderId="16" xfId="4" applyNumberFormat="1" applyFont="1" applyBorder="1"/>
    <xf numFmtId="0" fontId="21" fillId="0" borderId="0" xfId="24" applyFont="1" applyAlignment="1">
      <alignment horizontal="center" vertical="center"/>
    </xf>
    <xf numFmtId="0" fontId="6" fillId="0" borderId="0" xfId="24" applyFont="1" applyAlignment="1">
      <alignment horizontal="center"/>
    </xf>
    <xf numFmtId="0" fontId="49" fillId="0" borderId="5" xfId="24" applyFont="1" applyBorder="1" applyAlignment="1">
      <alignment horizontal="center"/>
    </xf>
    <xf numFmtId="0" fontId="21" fillId="0" borderId="1" xfId="24" applyFont="1" applyBorder="1" applyAlignment="1">
      <alignment horizontal="center" vertical="center" wrapText="1"/>
    </xf>
    <xf numFmtId="0" fontId="21" fillId="0" borderId="6" xfId="24" applyFont="1" applyBorder="1" applyAlignment="1">
      <alignment horizontal="center" vertical="center" wrapText="1"/>
    </xf>
    <xf numFmtId="0" fontId="21" fillId="0" borderId="4" xfId="24" applyFont="1" applyBorder="1" applyAlignment="1">
      <alignment horizontal="center" vertical="center" wrapText="1"/>
    </xf>
    <xf numFmtId="0" fontId="21" fillId="0" borderId="7" xfId="24" applyFont="1" applyBorder="1" applyAlignment="1">
      <alignment horizontal="center" vertical="center" wrapText="1"/>
    </xf>
    <xf numFmtId="0" fontId="21" fillId="0" borderId="3" xfId="24" applyFont="1" applyBorder="1" applyAlignment="1">
      <alignment horizontal="center" vertical="center" wrapText="1"/>
    </xf>
    <xf numFmtId="0" fontId="21" fillId="0" borderId="8" xfId="24" applyFont="1" applyBorder="1" applyAlignment="1">
      <alignment horizontal="center" vertical="center" wrapText="1"/>
    </xf>
    <xf numFmtId="0" fontId="21" fillId="0" borderId="2" xfId="24" applyFont="1" applyBorder="1" applyAlignment="1">
      <alignment horizontal="center" vertical="center" wrapText="1"/>
    </xf>
    <xf numFmtId="167" fontId="21" fillId="0" borderId="1" xfId="25" applyNumberFormat="1" applyFont="1" applyBorder="1" applyAlignment="1">
      <alignment horizontal="center" vertical="center" wrapText="1"/>
    </xf>
    <xf numFmtId="0" fontId="6" fillId="0" borderId="0" xfId="13" applyFont="1" applyAlignment="1">
      <alignment horizontal="center" vertical="center"/>
    </xf>
    <xf numFmtId="0" fontId="71" fillId="0" borderId="0" xfId="13" applyFont="1" applyAlignment="1">
      <alignment horizontal="center" vertical="center"/>
    </xf>
    <xf numFmtId="0" fontId="11" fillId="0" borderId="5" xfId="13" applyFont="1" applyBorder="1" applyAlignment="1">
      <alignment horizontal="right" vertical="center"/>
    </xf>
    <xf numFmtId="0" fontId="14" fillId="0" borderId="1" xfId="15" applyFont="1" applyBorder="1" applyAlignment="1">
      <alignment horizontal="center" vertical="center" wrapText="1"/>
    </xf>
    <xf numFmtId="0" fontId="14" fillId="0" borderId="6" xfId="15" applyFont="1" applyBorder="1" applyAlignment="1">
      <alignment horizontal="center" vertical="center"/>
    </xf>
    <xf numFmtId="0" fontId="14" fillId="0" borderId="4" xfId="15" applyFont="1" applyBorder="1" applyAlignment="1">
      <alignment horizontal="center" vertical="center"/>
    </xf>
    <xf numFmtId="0" fontId="14" fillId="0" borderId="3" xfId="15" applyFont="1" applyBorder="1" applyAlignment="1">
      <alignment horizontal="center" vertical="center" wrapText="1"/>
    </xf>
    <xf numFmtId="0" fontId="14" fillId="0" borderId="2" xfId="15" applyFont="1" applyBorder="1" applyAlignment="1">
      <alignment horizontal="center" vertical="center" wrapText="1"/>
    </xf>
    <xf numFmtId="0" fontId="9" fillId="0" borderId="0" xfId="13" applyFont="1" applyAlignment="1">
      <alignment horizontal="center" vertical="center"/>
    </xf>
    <xf numFmtId="3" fontId="20" fillId="0" borderId="5" xfId="15" applyNumberFormat="1" applyFont="1" applyBorder="1" applyAlignment="1">
      <alignment horizontal="center"/>
    </xf>
    <xf numFmtId="3" fontId="14" fillId="0" borderId="3" xfId="15" applyNumberFormat="1" applyFont="1" applyBorder="1" applyAlignment="1">
      <alignment horizontal="center" vertical="center" wrapText="1"/>
    </xf>
    <xf numFmtId="3" fontId="14" fillId="0" borderId="2" xfId="15" applyNumberFormat="1" applyFont="1" applyBorder="1" applyAlignment="1">
      <alignment horizontal="center" vertical="center" wrapText="1"/>
    </xf>
    <xf numFmtId="3" fontId="9" fillId="0" borderId="3" xfId="15" applyNumberFormat="1" applyFont="1" applyBorder="1" applyAlignment="1">
      <alignment horizontal="center" vertical="center" wrapText="1"/>
    </xf>
    <xf numFmtId="3" fontId="9" fillId="0" borderId="2" xfId="15" applyNumberFormat="1" applyFont="1" applyBorder="1" applyAlignment="1">
      <alignment horizontal="center" vertical="center" wrapText="1"/>
    </xf>
    <xf numFmtId="0" fontId="9" fillId="0" borderId="1" xfId="15" applyFont="1" applyBorder="1" applyAlignment="1">
      <alignment horizontal="center" vertical="center" wrapText="1"/>
    </xf>
    <xf numFmtId="0" fontId="37" fillId="0" borderId="0" xfId="15" applyFont="1" applyAlignment="1">
      <alignment horizontal="center"/>
    </xf>
    <xf numFmtId="0" fontId="9" fillId="0" borderId="0" xfId="15" applyFont="1" applyAlignment="1">
      <alignment horizontal="center"/>
    </xf>
    <xf numFmtId="0" fontId="9" fillId="0" borderId="0" xfId="15" applyFont="1" applyAlignment="1">
      <alignment horizontal="center" vertical="center" wrapText="1"/>
    </xf>
    <xf numFmtId="0" fontId="9" fillId="0" borderId="6" xfId="15" applyFont="1" applyBorder="1" applyAlignment="1">
      <alignment horizontal="center" vertical="center"/>
    </xf>
    <xf numFmtId="0" fontId="9" fillId="0" borderId="4" xfId="15" applyFont="1" applyBorder="1" applyAlignment="1">
      <alignment horizontal="center" vertical="center"/>
    </xf>
    <xf numFmtId="0" fontId="22" fillId="0" borderId="25" xfId="24" applyFont="1" applyBorder="1" applyAlignment="1">
      <alignment horizontal="center" vertical="center" wrapText="1"/>
    </xf>
    <xf numFmtId="0" fontId="87" fillId="0" borderId="26" xfId="24" applyFont="1" applyBorder="1"/>
    <xf numFmtId="0" fontId="49" fillId="0" borderId="1" xfId="24" applyFont="1" applyBorder="1" applyAlignment="1">
      <alignment vertical="center" wrapText="1"/>
    </xf>
    <xf numFmtId="0" fontId="60" fillId="0" borderId="1" xfId="24" applyFont="1" applyBorder="1"/>
    <xf numFmtId="0" fontId="23" fillId="0" borderId="0" xfId="24" applyFont="1" applyAlignment="1">
      <alignment horizontal="center"/>
    </xf>
    <xf numFmtId="0" fontId="1" fillId="0" borderId="0" xfId="24"/>
    <xf numFmtId="0" fontId="21" fillId="0" borderId="0" xfId="24" applyFont="1" applyAlignment="1">
      <alignment horizontal="center" vertical="center" wrapText="1"/>
    </xf>
    <xf numFmtId="0" fontId="21" fillId="0" borderId="25" xfId="24" applyFont="1" applyBorder="1" applyAlignment="1">
      <alignment horizontal="center" vertical="center"/>
    </xf>
    <xf numFmtId="0" fontId="86" fillId="0" borderId="26" xfId="24" applyFont="1" applyBorder="1"/>
    <xf numFmtId="0" fontId="21" fillId="0" borderId="25" xfId="24" applyFont="1" applyBorder="1" applyAlignment="1">
      <alignment horizontal="center" vertical="center" wrapText="1"/>
    </xf>
    <xf numFmtId="0" fontId="21" fillId="0" borderId="18" xfId="24" applyFont="1" applyBorder="1" applyAlignment="1">
      <alignment horizontal="center" vertical="center"/>
    </xf>
    <xf numFmtId="0" fontId="21" fillId="0" borderId="27" xfId="24" applyFont="1" applyBorder="1" applyAlignment="1">
      <alignment horizontal="center" vertical="center"/>
    </xf>
    <xf numFmtId="167" fontId="21" fillId="0" borderId="18" xfId="24" applyNumberFormat="1" applyFont="1" applyBorder="1" applyAlignment="1">
      <alignment horizontal="center" vertical="center" wrapText="1"/>
    </xf>
    <xf numFmtId="167" fontId="21" fillId="0" borderId="27" xfId="24" applyNumberFormat="1" applyFont="1" applyBorder="1" applyAlignment="1">
      <alignment horizontal="center" vertical="center" wrapText="1"/>
    </xf>
    <xf numFmtId="167" fontId="21" fillId="0" borderId="25" xfId="24" applyNumberFormat="1" applyFont="1" applyBorder="1" applyAlignment="1">
      <alignment horizontal="center" vertical="center" wrapText="1"/>
    </xf>
    <xf numFmtId="0" fontId="5" fillId="0" borderId="0" xfId="0" applyFont="1" applyAlignment="1">
      <alignment horizontal="center"/>
    </xf>
    <xf numFmtId="0" fontId="37" fillId="0" borderId="1" xfId="24" applyFont="1" applyBorder="1" applyAlignment="1">
      <alignment horizontal="justify" vertical="center" wrapText="1"/>
    </xf>
    <xf numFmtId="0" fontId="37" fillId="0" borderId="1" xfId="24" applyFont="1" applyBorder="1" applyAlignment="1">
      <alignment vertical="center" wrapText="1"/>
    </xf>
    <xf numFmtId="0" fontId="21" fillId="0" borderId="0" xfId="24" applyFont="1" applyAlignment="1">
      <alignment horizontal="center"/>
    </xf>
    <xf numFmtId="0" fontId="9" fillId="0" borderId="1" xfId="24" applyFont="1" applyBorder="1" applyAlignment="1">
      <alignment horizontal="center" vertical="center" wrapText="1"/>
    </xf>
    <xf numFmtId="0" fontId="46" fillId="0" borderId="1" xfId="24" applyFont="1" applyBorder="1" applyAlignment="1">
      <alignment horizontal="center" vertical="center" wrapText="1"/>
    </xf>
    <xf numFmtId="0" fontId="14" fillId="0" borderId="0" xfId="24" applyFont="1" applyAlignment="1">
      <alignment horizontal="center" vertical="center" wrapText="1"/>
    </xf>
    <xf numFmtId="0" fontId="42" fillId="0" borderId="5" xfId="24" applyFont="1" applyBorder="1" applyAlignment="1">
      <alignment horizontal="center"/>
    </xf>
    <xf numFmtId="0" fontId="9" fillId="0" borderId="3" xfId="24" applyFont="1" applyBorder="1" applyAlignment="1">
      <alignment horizontal="center" vertical="center" wrapText="1"/>
    </xf>
    <xf numFmtId="0" fontId="9" fillId="0" borderId="2" xfId="24" applyFont="1" applyBorder="1" applyAlignment="1">
      <alignment horizontal="center" vertical="center" wrapText="1"/>
    </xf>
    <xf numFmtId="0" fontId="100" fillId="0" borderId="0" xfId="7" applyFont="1" applyAlignment="1">
      <alignment horizontal="center" wrapText="1"/>
    </xf>
    <xf numFmtId="0" fontId="100" fillId="0" borderId="0" xfId="7" applyFont="1" applyAlignment="1">
      <alignment horizontal="center"/>
    </xf>
    <xf numFmtId="0" fontId="101" fillId="0" borderId="0" xfId="7" applyFont="1"/>
    <xf numFmtId="0" fontId="100" fillId="0" borderId="0" xfId="7" applyFont="1" applyAlignment="1">
      <alignment horizontal="center"/>
    </xf>
    <xf numFmtId="0" fontId="102" fillId="0" borderId="5" xfId="7" applyFont="1" applyBorder="1" applyAlignment="1">
      <alignment horizontal="center"/>
    </xf>
    <xf numFmtId="0" fontId="100" fillId="4" borderId="1" xfId="9" applyFont="1" applyFill="1" applyBorder="1" applyAlignment="1">
      <alignment horizontal="center" vertical="center"/>
    </xf>
    <xf numFmtId="3" fontId="100" fillId="4" borderId="1" xfId="9" applyNumberFormat="1" applyFont="1" applyFill="1" applyBorder="1" applyAlignment="1">
      <alignment horizontal="center" vertical="center" wrapText="1"/>
    </xf>
    <xf numFmtId="3" fontId="100" fillId="4" borderId="1" xfId="9" applyNumberFormat="1" applyFont="1" applyFill="1" applyBorder="1" applyAlignment="1">
      <alignment horizontal="center" vertical="center"/>
    </xf>
    <xf numFmtId="0" fontId="100" fillId="3" borderId="1" xfId="9" applyFont="1" applyFill="1" applyBorder="1" applyAlignment="1">
      <alignment vertical="center"/>
    </xf>
    <xf numFmtId="0" fontId="100" fillId="3" borderId="1" xfId="9" applyFont="1" applyFill="1" applyBorder="1" applyAlignment="1">
      <alignment vertical="center" wrapText="1"/>
    </xf>
    <xf numFmtId="3" fontId="26" fillId="3" borderId="1" xfId="9" applyNumberFormat="1" applyFont="1" applyFill="1" applyBorder="1" applyAlignment="1">
      <alignment vertical="center"/>
    </xf>
    <xf numFmtId="0" fontId="101" fillId="0" borderId="0" xfId="7" applyFont="1" applyAlignment="1">
      <alignment vertical="center"/>
    </xf>
    <xf numFmtId="0" fontId="101" fillId="2" borderId="1" xfId="9" applyFont="1" applyFill="1" applyBorder="1" applyAlignment="1">
      <alignment vertical="center"/>
    </xf>
    <xf numFmtId="0" fontId="101" fillId="2" borderId="1" xfId="9" applyFont="1" applyFill="1" applyBorder="1" applyAlignment="1">
      <alignment vertical="center" wrapText="1"/>
    </xf>
    <xf numFmtId="3" fontId="17" fillId="2" borderId="1" xfId="9" applyNumberFormat="1" applyFont="1" applyFill="1" applyBorder="1" applyAlignment="1">
      <alignment vertical="center"/>
    </xf>
    <xf numFmtId="0" fontId="101" fillId="2" borderId="0" xfId="7" applyFont="1" applyFill="1" applyAlignment="1">
      <alignment vertical="center"/>
    </xf>
    <xf numFmtId="0" fontId="101" fillId="0" borderId="1" xfId="9" applyFont="1" applyBorder="1" applyAlignment="1">
      <alignment vertical="center"/>
    </xf>
    <xf numFmtId="0" fontId="101" fillId="0" borderId="1" xfId="9" applyFont="1" applyBorder="1" applyAlignment="1">
      <alignment vertical="center" wrapText="1"/>
    </xf>
    <xf numFmtId="3" fontId="17" fillId="0" borderId="1" xfId="9" applyNumberFormat="1" applyFont="1" applyBorder="1" applyAlignment="1">
      <alignment vertical="center"/>
    </xf>
    <xf numFmtId="0" fontId="103" fillId="0" borderId="0" xfId="7" applyFont="1" applyAlignment="1">
      <alignment vertical="center"/>
    </xf>
    <xf numFmtId="0" fontId="102" fillId="0" borderId="1" xfId="9" applyFont="1" applyBorder="1" applyAlignment="1">
      <alignment vertical="center" wrapText="1"/>
    </xf>
    <xf numFmtId="3" fontId="27" fillId="0" borderId="1" xfId="9" applyNumberFormat="1" applyFont="1" applyBorder="1" applyAlignment="1">
      <alignment vertical="center"/>
    </xf>
    <xf numFmtId="3" fontId="101" fillId="0" borderId="0" xfId="7" applyNumberFormat="1" applyFont="1"/>
    <xf numFmtId="0" fontId="101" fillId="0" borderId="1" xfId="9" applyFont="1" applyBorder="1" applyAlignment="1">
      <alignment horizontal="right" vertical="center"/>
    </xf>
    <xf numFmtId="0" fontId="101" fillId="0" borderId="1" xfId="0" applyFont="1" applyBorder="1" applyAlignment="1">
      <alignment vertical="center" wrapText="1"/>
    </xf>
    <xf numFmtId="0" fontId="101" fillId="0" borderId="1" xfId="0" applyFont="1" applyBorder="1" applyAlignment="1">
      <alignment vertical="center"/>
    </xf>
    <xf numFmtId="3" fontId="101" fillId="0" borderId="1" xfId="0" applyNumberFormat="1" applyFont="1" applyBorder="1" applyAlignment="1">
      <alignment vertical="center"/>
    </xf>
    <xf numFmtId="3" fontId="101" fillId="0" borderId="1" xfId="7" applyNumberFormat="1" applyFont="1" applyBorder="1"/>
    <xf numFmtId="0" fontId="101" fillId="0" borderId="0" xfId="8" applyFont="1"/>
    <xf numFmtId="3" fontId="101" fillId="0" borderId="0" xfId="8" applyNumberFormat="1" applyFont="1"/>
    <xf numFmtId="0" fontId="101" fillId="0" borderId="0" xfId="8" applyFont="1" applyAlignment="1">
      <alignment horizontal="center"/>
    </xf>
    <xf numFmtId="0" fontId="58" fillId="0" borderId="0" xfId="8" applyFont="1"/>
    <xf numFmtId="168" fontId="58" fillId="0" borderId="0" xfId="4" applyNumberFormat="1" applyFont="1"/>
    <xf numFmtId="0" fontId="100" fillId="0" borderId="0" xfId="8" applyFont="1" applyAlignment="1">
      <alignment horizontal="center"/>
    </xf>
    <xf numFmtId="0" fontId="34" fillId="4" borderId="3" xfId="8" applyFont="1" applyFill="1" applyBorder="1" applyAlignment="1">
      <alignment horizontal="center" vertical="center"/>
    </xf>
    <xf numFmtId="3" fontId="34" fillId="4" borderId="3" xfId="8" applyNumberFormat="1" applyFont="1" applyFill="1" applyBorder="1" applyAlignment="1">
      <alignment horizontal="center" vertical="center" wrapText="1"/>
    </xf>
    <xf numFmtId="0" fontId="34" fillId="4" borderId="6" xfId="8" applyFont="1" applyFill="1" applyBorder="1" applyAlignment="1">
      <alignment horizontal="center" vertical="center"/>
    </xf>
    <xf numFmtId="0" fontId="34" fillId="4" borderId="7" xfId="8" applyFont="1" applyFill="1" applyBorder="1" applyAlignment="1">
      <alignment horizontal="center" vertical="center"/>
    </xf>
    <xf numFmtId="0" fontId="34" fillId="4" borderId="3" xfId="8" applyFont="1" applyFill="1" applyBorder="1" applyAlignment="1">
      <alignment horizontal="center" vertical="center" wrapText="1"/>
    </xf>
    <xf numFmtId="0" fontId="34" fillId="4" borderId="1" xfId="8" applyFont="1" applyFill="1" applyBorder="1" applyAlignment="1">
      <alignment horizontal="left" vertical="center" wrapText="1"/>
    </xf>
    <xf numFmtId="168" fontId="34" fillId="0" borderId="0" xfId="4" applyNumberFormat="1" applyFont="1" applyAlignment="1">
      <alignment horizontal="center" vertical="center"/>
    </xf>
    <xf numFmtId="0" fontId="100" fillId="0" borderId="0" xfId="8" applyFont="1" applyAlignment="1">
      <alignment horizontal="center" vertical="center"/>
    </xf>
    <xf numFmtId="0" fontId="34" fillId="4" borderId="2" xfId="8" applyFont="1" applyFill="1" applyBorder="1" applyAlignment="1">
      <alignment horizontal="center" vertical="center"/>
    </xf>
    <xf numFmtId="3" fontId="34" fillId="4" borderId="2" xfId="8" applyNumberFormat="1" applyFont="1" applyFill="1" applyBorder="1" applyAlignment="1">
      <alignment horizontal="center" vertical="center" wrapText="1"/>
    </xf>
    <xf numFmtId="3" fontId="34" fillId="4" borderId="1" xfId="8" applyNumberFormat="1" applyFont="1" applyFill="1" applyBorder="1" applyAlignment="1">
      <alignment horizontal="center" vertical="center" wrapText="1"/>
    </xf>
    <xf numFmtId="0" fontId="34" fillId="4" borderId="2" xfId="8" applyFont="1" applyFill="1" applyBorder="1" applyAlignment="1">
      <alignment horizontal="center" vertical="center" wrapText="1"/>
    </xf>
    <xf numFmtId="0" fontId="34" fillId="4" borderId="2" xfId="8" applyFont="1" applyFill="1" applyBorder="1" applyAlignment="1">
      <alignment horizontal="center" vertical="center" wrapText="1"/>
    </xf>
    <xf numFmtId="0" fontId="58" fillId="0" borderId="1" xfId="8" applyFont="1" applyBorder="1" applyAlignment="1">
      <alignment horizontal="center" vertical="center"/>
    </xf>
    <xf numFmtId="3" fontId="58" fillId="0" borderId="1" xfId="8" applyNumberFormat="1" applyFont="1" applyBorder="1" applyAlignment="1">
      <alignment horizontal="center" vertical="center" wrapText="1"/>
    </xf>
    <xf numFmtId="168" fontId="58" fillId="0" borderId="0" xfId="4" applyNumberFormat="1" applyFont="1" applyAlignment="1">
      <alignment horizontal="center" vertical="center"/>
    </xf>
    <xf numFmtId="0" fontId="101" fillId="0" borderId="0" xfId="8" applyFont="1" applyAlignment="1">
      <alignment horizontal="center" vertical="center"/>
    </xf>
    <xf numFmtId="0" fontId="104" fillId="3" borderId="1" xfId="8" applyFont="1" applyFill="1" applyBorder="1" applyAlignment="1">
      <alignment vertical="center"/>
    </xf>
    <xf numFmtId="3" fontId="104" fillId="3" borderId="1" xfId="8" applyNumberFormat="1" applyFont="1" applyFill="1" applyBorder="1" applyAlignment="1">
      <alignment vertical="center"/>
    </xf>
    <xf numFmtId="168" fontId="104" fillId="0" borderId="0" xfId="4" applyNumberFormat="1" applyFont="1" applyAlignment="1">
      <alignment vertical="center"/>
    </xf>
    <xf numFmtId="0" fontId="104" fillId="0" borderId="0" xfId="8" applyFont="1" applyAlignment="1">
      <alignment vertical="center"/>
    </xf>
    <xf numFmtId="0" fontId="58" fillId="0" borderId="1" xfId="19" applyFont="1" applyBorder="1" applyAlignment="1">
      <alignment vertical="center" wrapText="1"/>
    </xf>
    <xf numFmtId="3" fontId="41" fillId="0" borderId="1" xfId="8" applyNumberFormat="1" applyFont="1" applyBorder="1" applyAlignment="1">
      <alignment vertical="center"/>
    </xf>
    <xf numFmtId="0" fontId="41" fillId="0" borderId="1" xfId="8" applyFont="1" applyBorder="1" applyAlignment="1">
      <alignment vertical="center"/>
    </xf>
    <xf numFmtId="0" fontId="39" fillId="0" borderId="1" xfId="8" applyFont="1" applyBorder="1" applyAlignment="1">
      <alignment vertical="center" wrapText="1"/>
    </xf>
    <xf numFmtId="168" fontId="58" fillId="0" borderId="0" xfId="4" applyNumberFormat="1" applyFont="1" applyAlignment="1">
      <alignment vertical="center"/>
    </xf>
    <xf numFmtId="0" fontId="101" fillId="0" borderId="0" xfId="8" applyFont="1" applyAlignment="1">
      <alignment vertical="center"/>
    </xf>
    <xf numFmtId="3" fontId="41" fillId="0" borderId="3" xfId="8" applyNumberFormat="1" applyFont="1" applyBorder="1" applyAlignment="1">
      <alignment vertical="center"/>
    </xf>
    <xf numFmtId="0" fontId="34" fillId="3" borderId="1" xfId="8" applyFont="1" applyFill="1" applyBorder="1" applyAlignment="1">
      <alignment vertical="center"/>
    </xf>
    <xf numFmtId="0" fontId="53" fillId="3" borderId="1" xfId="8" applyFont="1" applyFill="1" applyBorder="1" applyAlignment="1">
      <alignment vertical="center"/>
    </xf>
    <xf numFmtId="168" fontId="34" fillId="0" borderId="0" xfId="4" applyNumberFormat="1" applyFont="1" applyAlignment="1">
      <alignment vertical="center"/>
    </xf>
    <xf numFmtId="0" fontId="100" fillId="0" borderId="0" xfId="8" applyFont="1" applyAlignment="1">
      <alignment vertical="center"/>
    </xf>
    <xf numFmtId="0" fontId="58" fillId="0" borderId="1" xfId="8" applyFont="1" applyBorder="1" applyAlignment="1">
      <alignment vertical="center"/>
    </xf>
    <xf numFmtId="0" fontId="58" fillId="0" borderId="1" xfId="8" applyFont="1" applyBorder="1" applyAlignment="1">
      <alignment vertical="center" wrapText="1"/>
    </xf>
    <xf numFmtId="3" fontId="41" fillId="0" borderId="2" xfId="8" applyNumberFormat="1" applyFont="1" applyBorder="1" applyAlignment="1">
      <alignment vertical="center"/>
    </xf>
    <xf numFmtId="3" fontId="34" fillId="3" borderId="1" xfId="8" applyNumberFormat="1" applyFont="1" applyFill="1" applyBorder="1" applyAlignment="1">
      <alignment vertical="center"/>
    </xf>
    <xf numFmtId="0" fontId="34" fillId="4" borderId="1" xfId="8" applyFont="1" applyFill="1" applyBorder="1" applyAlignment="1">
      <alignment vertical="center"/>
    </xf>
    <xf numFmtId="0" fontId="53" fillId="4" borderId="1" xfId="8" applyFont="1" applyFill="1" applyBorder="1" applyAlignment="1">
      <alignment vertical="center"/>
    </xf>
    <xf numFmtId="3" fontId="104" fillId="4" borderId="1" xfId="8" applyNumberFormat="1" applyFont="1" applyFill="1" applyBorder="1" applyAlignment="1">
      <alignment vertical="center"/>
    </xf>
    <xf numFmtId="0" fontId="104" fillId="4" borderId="1" xfId="8" applyFont="1" applyFill="1" applyBorder="1" applyAlignment="1">
      <alignment vertical="center"/>
    </xf>
    <xf numFmtId="0" fontId="39" fillId="0" borderId="0" xfId="8" applyFont="1"/>
    <xf numFmtId="3" fontId="39" fillId="0" borderId="0" xfId="8" applyNumberFormat="1" applyFont="1"/>
    <xf numFmtId="0" fontId="39" fillId="0" borderId="0" xfId="8" applyFont="1" applyAlignment="1">
      <alignment horizontal="center"/>
    </xf>
    <xf numFmtId="0" fontId="53" fillId="0" borderId="0" xfId="0" applyFont="1" applyAlignment="1">
      <alignment horizontal="center" vertical="center" wrapText="1"/>
    </xf>
    <xf numFmtId="0" fontId="53" fillId="4" borderId="3" xfId="8" applyFont="1" applyFill="1" applyBorder="1" applyAlignment="1">
      <alignment horizontal="center" vertical="center"/>
    </xf>
    <xf numFmtId="3" fontId="53" fillId="4" borderId="3" xfId="8" applyNumberFormat="1" applyFont="1" applyFill="1" applyBorder="1" applyAlignment="1">
      <alignment horizontal="center" vertical="center" wrapText="1"/>
    </xf>
    <xf numFmtId="0" fontId="53" fillId="4" borderId="6" xfId="8" applyFont="1" applyFill="1" applyBorder="1" applyAlignment="1">
      <alignment horizontal="center" vertical="center"/>
    </xf>
    <xf numFmtId="0" fontId="53" fillId="4" borderId="4" xfId="8" applyFont="1" applyFill="1" applyBorder="1" applyAlignment="1">
      <alignment horizontal="center" vertical="center"/>
    </xf>
    <xf numFmtId="0" fontId="53" fillId="4" borderId="7" xfId="8" applyFont="1" applyFill="1" applyBorder="1" applyAlignment="1">
      <alignment horizontal="center" vertical="center"/>
    </xf>
    <xf numFmtId="0" fontId="53" fillId="4" borderId="3" xfId="8" applyFont="1" applyFill="1" applyBorder="1" applyAlignment="1">
      <alignment horizontal="center" vertical="center" wrapText="1"/>
    </xf>
    <xf numFmtId="0" fontId="53" fillId="4" borderId="2" xfId="8" applyFont="1" applyFill="1" applyBorder="1" applyAlignment="1">
      <alignment horizontal="center" vertical="center"/>
    </xf>
    <xf numFmtId="3" fontId="53" fillId="4" borderId="2" xfId="8" applyNumberFormat="1" applyFont="1" applyFill="1" applyBorder="1" applyAlignment="1">
      <alignment horizontal="center" vertical="center" wrapText="1"/>
    </xf>
    <xf numFmtId="3" fontId="53" fillId="4" borderId="2" xfId="8" applyNumberFormat="1" applyFont="1" applyFill="1" applyBorder="1" applyAlignment="1">
      <alignment horizontal="center" vertical="center" wrapText="1"/>
    </xf>
    <xf numFmtId="0" fontId="53" fillId="4" borderId="2" xfId="8" applyFont="1" applyFill="1" applyBorder="1" applyAlignment="1">
      <alignment horizontal="center" vertical="center" wrapText="1"/>
    </xf>
    <xf numFmtId="0" fontId="53" fillId="4" borderId="2" xfId="8" applyFont="1" applyFill="1" applyBorder="1" applyAlignment="1">
      <alignment horizontal="center" vertical="center" wrapText="1"/>
    </xf>
    <xf numFmtId="0" fontId="39" fillId="0" borderId="1" xfId="8" applyFont="1" applyBorder="1" applyAlignment="1">
      <alignment horizontal="center" vertical="center"/>
    </xf>
    <xf numFmtId="3" fontId="39" fillId="0" borderId="1" xfId="8" applyNumberFormat="1" applyFont="1" applyBorder="1" applyAlignment="1">
      <alignment horizontal="center" vertical="center" wrapText="1"/>
    </xf>
    <xf numFmtId="3" fontId="53" fillId="3" borderId="1" xfId="8" applyNumberFormat="1" applyFont="1" applyFill="1" applyBorder="1" applyAlignment="1">
      <alignment vertical="center"/>
    </xf>
    <xf numFmtId="0" fontId="39" fillId="0" borderId="1" xfId="9" applyFont="1" applyBorder="1" applyAlignment="1">
      <alignment vertical="center" wrapText="1"/>
    </xf>
    <xf numFmtId="3" fontId="39" fillId="0" borderId="1" xfId="8" applyNumberFormat="1" applyFont="1" applyBorder="1" applyAlignment="1">
      <alignment vertical="center"/>
    </xf>
    <xf numFmtId="0" fontId="39" fillId="0" borderId="1" xfId="8" applyFont="1" applyBorder="1" applyAlignment="1">
      <alignment vertical="center"/>
    </xf>
    <xf numFmtId="3" fontId="53" fillId="4" borderId="1" xfId="8" applyNumberFormat="1" applyFont="1" applyFill="1" applyBorder="1" applyAlignment="1">
      <alignment vertical="center"/>
    </xf>
    <xf numFmtId="168" fontId="34" fillId="0" borderId="0" xfId="4" applyNumberFormat="1" applyFont="1" applyAlignment="1">
      <alignment horizontal="center" vertical="center"/>
    </xf>
    <xf numFmtId="168" fontId="34" fillId="2" borderId="0" xfId="4" applyNumberFormat="1" applyFont="1" applyFill="1" applyAlignment="1">
      <alignment horizontal="center" vertical="center"/>
    </xf>
    <xf numFmtId="168" fontId="58" fillId="0" borderId="0" xfId="4" applyNumberFormat="1" applyFont="1" applyAlignment="1">
      <alignment vertical="center" wrapText="1"/>
    </xf>
    <xf numFmtId="168" fontId="60" fillId="0" borderId="5" xfId="4" applyNumberFormat="1" applyFont="1" applyBorder="1" applyAlignment="1">
      <alignment horizontal="right" vertical="center"/>
    </xf>
    <xf numFmtId="168" fontId="34" fillId="0" borderId="3" xfId="4" applyNumberFormat="1" applyFont="1" applyBorder="1" applyAlignment="1">
      <alignment horizontal="center" vertical="center" wrapText="1"/>
    </xf>
    <xf numFmtId="168" fontId="34" fillId="2" borderId="3" xfId="4" applyNumberFormat="1" applyFont="1" applyFill="1" applyBorder="1" applyAlignment="1">
      <alignment horizontal="center" vertical="center" wrapText="1"/>
    </xf>
    <xf numFmtId="0" fontId="34" fillId="0" borderId="1" xfId="0" applyFont="1" applyBorder="1" applyAlignment="1">
      <alignment horizontal="center" vertical="center" wrapText="1"/>
    </xf>
    <xf numFmtId="168" fontId="34" fillId="0" borderId="2" xfId="4" applyNumberFormat="1" applyFont="1" applyBorder="1" applyAlignment="1">
      <alignment horizontal="center" vertical="center" wrapText="1"/>
    </xf>
    <xf numFmtId="168" fontId="34" fillId="2" borderId="2" xfId="4" applyNumberFormat="1" applyFont="1" applyFill="1" applyBorder="1" applyAlignment="1">
      <alignment horizontal="center" vertical="center" wrapText="1"/>
    </xf>
    <xf numFmtId="0" fontId="34" fillId="0" borderId="1" xfId="0" applyFont="1" applyBorder="1" applyAlignment="1">
      <alignment horizontal="center" vertical="center" wrapText="1"/>
    </xf>
    <xf numFmtId="168" fontId="58" fillId="0" borderId="1" xfId="4" applyNumberFormat="1" applyFont="1" applyBorder="1" applyAlignment="1">
      <alignment horizontal="center" vertical="center" wrapText="1"/>
    </xf>
    <xf numFmtId="168" fontId="58" fillId="0" borderId="1" xfId="4" applyNumberFormat="1" applyFont="1" applyBorder="1" applyAlignment="1">
      <alignment vertical="center" wrapText="1"/>
    </xf>
    <xf numFmtId="168" fontId="58" fillId="0" borderId="1" xfId="4" applyNumberFormat="1" applyFont="1" applyBorder="1" applyAlignment="1">
      <alignment horizontal="right" vertical="center" wrapText="1"/>
    </xf>
    <xf numFmtId="3" fontId="58" fillId="0" borderId="1" xfId="8" applyNumberFormat="1" applyFont="1" applyBorder="1" applyAlignment="1">
      <alignment vertical="center"/>
    </xf>
    <xf numFmtId="168" fontId="58" fillId="2" borderId="1" xfId="4" applyNumberFormat="1" applyFont="1" applyFill="1" applyBorder="1" applyAlignment="1">
      <alignment horizontal="right" vertical="center" wrapText="1"/>
    </xf>
    <xf numFmtId="9" fontId="58" fillId="0" borderId="1" xfId="18" applyFont="1" applyBorder="1" applyAlignment="1">
      <alignment horizontal="center" vertical="center" wrapText="1"/>
    </xf>
    <xf numFmtId="168" fontId="58" fillId="0" borderId="1" xfId="4" applyNumberFormat="1" applyFont="1" applyBorder="1" applyAlignment="1">
      <alignment horizontal="center" vertical="center"/>
    </xf>
    <xf numFmtId="168" fontId="58" fillId="0" borderId="1" xfId="4" applyNumberFormat="1" applyFont="1" applyBorder="1" applyAlignment="1">
      <alignment vertical="center"/>
    </xf>
    <xf numFmtId="168" fontId="34" fillId="0" borderId="1" xfId="4" applyNumberFormat="1" applyFont="1" applyBorder="1" applyAlignment="1">
      <alignment vertical="center"/>
    </xf>
    <xf numFmtId="168" fontId="34" fillId="0" borderId="1" xfId="4" applyNumberFormat="1" applyFont="1" applyBorder="1" applyAlignment="1">
      <alignment horizontal="right" vertical="center"/>
    </xf>
    <xf numFmtId="168" fontId="34" fillId="2" borderId="1" xfId="4" applyNumberFormat="1" applyFont="1" applyFill="1" applyBorder="1" applyAlignment="1">
      <alignment horizontal="right" vertical="center"/>
    </xf>
    <xf numFmtId="168" fontId="34" fillId="0" borderId="1" xfId="4" applyNumberFormat="1" applyFont="1" applyBorder="1" applyAlignment="1">
      <alignment horizontal="center" vertical="center"/>
    </xf>
    <xf numFmtId="0" fontId="105" fillId="0" borderId="0" xfId="0" applyFont="1"/>
    <xf numFmtId="0" fontId="105" fillId="2" borderId="0" xfId="0" applyFont="1" applyFill="1"/>
    <xf numFmtId="0" fontId="34" fillId="0" borderId="0" xfId="0" applyFont="1" applyAlignment="1">
      <alignment wrapText="1"/>
    </xf>
    <xf numFmtId="0" fontId="34" fillId="0" borderId="0" xfId="0" applyFont="1" applyAlignment="1">
      <alignment horizontal="center" vertical="center"/>
    </xf>
    <xf numFmtId="168" fontId="106" fillId="0" borderId="5" xfId="4" applyNumberFormat="1" applyFont="1" applyBorder="1" applyAlignment="1">
      <alignment horizontal="right" vertical="center"/>
    </xf>
    <xf numFmtId="0" fontId="34" fillId="0" borderId="10" xfId="0" applyFont="1" applyBorder="1" applyAlignment="1">
      <alignment vertical="center" wrapText="1"/>
    </xf>
    <xf numFmtId="167" fontId="34" fillId="0" borderId="9" xfId="4" applyNumberFormat="1" applyFont="1" applyBorder="1" applyAlignment="1">
      <alignment horizontal="center" vertical="center" wrapText="1"/>
    </xf>
    <xf numFmtId="0" fontId="34" fillId="2" borderId="1" xfId="0" applyFont="1" applyFill="1" applyBorder="1" applyAlignment="1">
      <alignment horizontal="center" vertical="center" wrapText="1"/>
    </xf>
    <xf numFmtId="0" fontId="34" fillId="0" borderId="3" xfId="0" applyFont="1" applyBorder="1" applyAlignment="1">
      <alignment horizontal="center" vertical="center" wrapText="1"/>
    </xf>
    <xf numFmtId="167" fontId="34" fillId="0" borderId="1" xfId="4" applyNumberFormat="1" applyFont="1" applyBorder="1" applyAlignment="1">
      <alignment vertical="center" wrapText="1"/>
    </xf>
    <xf numFmtId="167" fontId="34" fillId="0" borderId="28" xfId="4" applyNumberFormat="1" applyFont="1" applyBorder="1" applyAlignment="1">
      <alignment horizontal="center" vertical="center" wrapText="1"/>
    </xf>
    <xf numFmtId="0" fontId="34" fillId="0" borderId="8" xfId="0" applyFont="1" applyBorder="1" applyAlignment="1">
      <alignment horizontal="center" vertical="center" wrapText="1"/>
    </xf>
    <xf numFmtId="167" fontId="34" fillId="0" borderId="29" xfId="4"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vertical="center" wrapText="1"/>
    </xf>
    <xf numFmtId="167" fontId="34" fillId="0" borderId="1" xfId="4" applyNumberFormat="1" applyFont="1" applyBorder="1" applyAlignment="1">
      <alignment horizontal="center" vertical="center" wrapText="1"/>
    </xf>
    <xf numFmtId="167" fontId="34" fillId="2" borderId="1" xfId="4" applyNumberFormat="1" applyFont="1" applyFill="1" applyBorder="1" applyAlignment="1">
      <alignment horizontal="center" vertical="center" wrapText="1"/>
    </xf>
    <xf numFmtId="0" fontId="34" fillId="0" borderId="1" xfId="0" applyFont="1" applyBorder="1" applyAlignment="1">
      <alignment horizontal="justify" vertical="center" wrapText="1"/>
    </xf>
    <xf numFmtId="0" fontId="58" fillId="0" borderId="1" xfId="0" applyFont="1" applyBorder="1" applyAlignment="1">
      <alignment horizontal="center" vertical="center" wrapText="1"/>
    </xf>
    <xf numFmtId="0" fontId="58" fillId="0" borderId="1" xfId="0" applyFont="1" applyBorder="1" applyAlignment="1">
      <alignment vertical="center" wrapText="1"/>
    </xf>
    <xf numFmtId="167" fontId="58" fillId="0" borderId="1" xfId="4" applyNumberFormat="1" applyFont="1" applyBorder="1" applyAlignment="1">
      <alignment horizontal="center" vertical="center" wrapText="1"/>
    </xf>
    <xf numFmtId="3" fontId="101" fillId="0" borderId="1" xfId="7" applyNumberFormat="1" applyFont="1" applyBorder="1" applyAlignment="1">
      <alignment vertical="center"/>
    </xf>
    <xf numFmtId="167" fontId="58" fillId="2" borderId="1" xfId="4" applyNumberFormat="1" applyFont="1" applyFill="1" applyBorder="1" applyAlignment="1">
      <alignment horizontal="center" vertical="center" wrapText="1"/>
    </xf>
    <xf numFmtId="167" fontId="58" fillId="0" borderId="1" xfId="4" applyNumberFormat="1" applyFont="1" applyBorder="1" applyAlignment="1">
      <alignment horizontal="right" vertical="center" wrapText="1"/>
    </xf>
    <xf numFmtId="167" fontId="58" fillId="2" borderId="1" xfId="4" applyNumberFormat="1" applyFont="1" applyFill="1" applyBorder="1" applyAlignment="1">
      <alignment horizontal="right" vertical="center" wrapText="1"/>
    </xf>
    <xf numFmtId="168" fontId="107" fillId="0" borderId="1" xfId="4" applyNumberFormat="1" applyFont="1" applyBorder="1" applyAlignment="1">
      <alignment horizontal="center" vertical="center"/>
    </xf>
    <xf numFmtId="168" fontId="107" fillId="0" borderId="1" xfId="4" applyNumberFormat="1" applyFont="1" applyBorder="1"/>
    <xf numFmtId="168" fontId="58" fillId="2" borderId="1" xfId="4" applyNumberFormat="1" applyFont="1" applyFill="1" applyBorder="1" applyAlignment="1">
      <alignment horizontal="right" vertical="center"/>
    </xf>
    <xf numFmtId="168" fontId="107" fillId="0" borderId="1" xfId="4" applyNumberFormat="1" applyFont="1" applyBorder="1" applyAlignment="1">
      <alignment wrapText="1"/>
    </xf>
    <xf numFmtId="0" fontId="53" fillId="0" borderId="1" xfId="20" applyFont="1" applyBorder="1" applyAlignment="1">
      <alignment horizontal="center" vertical="center" wrapText="1"/>
    </xf>
    <xf numFmtId="0" fontId="53" fillId="0" borderId="3" xfId="20" applyFont="1" applyBorder="1" applyAlignment="1">
      <alignment horizontal="center" vertical="center" wrapText="1"/>
    </xf>
    <xf numFmtId="0" fontId="53" fillId="0" borderId="2" xfId="20" applyFont="1" applyBorder="1" applyAlignment="1">
      <alignment horizontal="center" vertical="center" wrapText="1"/>
    </xf>
    <xf numFmtId="0" fontId="108" fillId="0" borderId="1" xfId="20" applyFont="1" applyBorder="1" applyAlignment="1">
      <alignment horizontal="center" vertical="center" wrapText="1"/>
    </xf>
    <xf numFmtId="3" fontId="108" fillId="0" borderId="1" xfId="20" applyNumberFormat="1" applyFont="1" applyBorder="1" applyAlignment="1">
      <alignment horizontal="right" vertical="center" wrapText="1"/>
    </xf>
    <xf numFmtId="3" fontId="108" fillId="0" borderId="1" xfId="20" applyNumberFormat="1" applyFont="1" applyBorder="1" applyAlignment="1">
      <alignment vertical="center" wrapText="1"/>
    </xf>
    <xf numFmtId="0" fontId="39" fillId="0" borderId="1" xfId="20" applyFont="1" applyBorder="1" applyAlignment="1">
      <alignment horizontal="center" vertical="center" wrapText="1"/>
    </xf>
    <xf numFmtId="3" fontId="39" fillId="0" borderId="1" xfId="20" applyNumberFormat="1" applyFont="1" applyBorder="1" applyAlignment="1">
      <alignment horizontal="right" vertical="center" wrapText="1"/>
    </xf>
    <xf numFmtId="3" fontId="39" fillId="2" borderId="1" xfId="20" applyNumberFormat="1" applyFont="1" applyFill="1" applyBorder="1" applyAlignment="1">
      <alignment horizontal="right" vertical="center" wrapText="1"/>
    </xf>
    <xf numFmtId="3" fontId="39" fillId="0" borderId="1" xfId="20" applyNumberFormat="1" applyFont="1" applyBorder="1" applyAlignment="1">
      <alignment vertical="center" wrapText="1"/>
    </xf>
    <xf numFmtId="0" fontId="39" fillId="0" borderId="1" xfId="20" applyFont="1" applyBorder="1" applyAlignment="1">
      <alignment horizontal="right" vertical="center" wrapText="1"/>
    </xf>
    <xf numFmtId="9" fontId="108" fillId="0" borderId="1" xfId="20" applyNumberFormat="1" applyFont="1" applyBorder="1" applyAlignment="1">
      <alignment horizontal="center" vertical="center" wrapText="1"/>
    </xf>
    <xf numFmtId="0" fontId="59" fillId="0" borderId="1" xfId="20" applyFont="1" applyBorder="1" applyAlignment="1">
      <alignment vertical="top" wrapText="1"/>
    </xf>
  </cellXfs>
  <cellStyles count="27">
    <cellStyle name="Comma" xfId="4" builtinId="3"/>
    <cellStyle name="Comma 2" xfId="10"/>
    <cellStyle name="Comma 3" xfId="6"/>
    <cellStyle name="Comma 3 2" xfId="16"/>
    <cellStyle name="Comma 4" xfId="14"/>
    <cellStyle name="Comma 5" xfId="17"/>
    <cellStyle name="Comma 6" xfId="22"/>
    <cellStyle name="Comma 7" xfId="25"/>
    <cellStyle name="Normal" xfId="0" builtinId="0"/>
    <cellStyle name="Normal 2" xfId="1"/>
    <cellStyle name="Normal 2 2" xfId="3"/>
    <cellStyle name="Normal 2 2 2" xfId="5"/>
    <cellStyle name="Normal 2 3" xfId="13"/>
    <cellStyle name="Normal 3" xfId="9"/>
    <cellStyle name="Normal 3 2" xfId="19"/>
    <cellStyle name="Normal 3 3" xfId="23"/>
    <cellStyle name="Normal 4" xfId="2"/>
    <cellStyle name="Normal 4 2" xfId="8"/>
    <cellStyle name="Normal 4 3" xfId="15"/>
    <cellStyle name="Normal 5" xfId="7"/>
    <cellStyle name="Normal 6" xfId="11"/>
    <cellStyle name="Normal 7" xfId="12"/>
    <cellStyle name="Normal 8" xfId="20"/>
    <cellStyle name="Normal 9" xfId="24"/>
    <cellStyle name="Percent" xfId="18" builtinId="5"/>
    <cellStyle name="Percent 2" xfId="21"/>
    <cellStyle name="Percent 3"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0</xdr:rowOff>
    </xdr:from>
    <xdr:to>
      <xdr:col>7</xdr:col>
      <xdr:colOff>0</xdr:colOff>
      <xdr:row>2</xdr:row>
      <xdr:rowOff>0</xdr:rowOff>
    </xdr:to>
    <xdr:sp macro="" textlink="">
      <xdr:nvSpPr>
        <xdr:cNvPr id="2" name="Line 2">
          <a:extLst>
            <a:ext uri="{FF2B5EF4-FFF2-40B4-BE49-F238E27FC236}">
              <a16:creationId xmlns:a16="http://schemas.microsoft.com/office/drawing/2014/main" id="{8B59D7F6-22D8-4EF0-91AD-F3FA50E1B432}"/>
            </a:ext>
          </a:extLst>
        </xdr:cNvPr>
        <xdr:cNvSpPr>
          <a:spLocks noChangeShapeType="1"/>
        </xdr:cNvSpPr>
      </xdr:nvSpPr>
      <xdr:spPr bwMode="auto">
        <a:xfrm flipV="1">
          <a:off x="4943475" y="23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3" name="Line 5">
          <a:extLst>
            <a:ext uri="{FF2B5EF4-FFF2-40B4-BE49-F238E27FC236}">
              <a16:creationId xmlns:a16="http://schemas.microsoft.com/office/drawing/2014/main" id="{5E7BA818-1262-4B03-A49C-D53BE3200C26}"/>
            </a:ext>
          </a:extLst>
        </xdr:cNvPr>
        <xdr:cNvSpPr>
          <a:spLocks noChangeShapeType="1"/>
        </xdr:cNvSpPr>
      </xdr:nvSpPr>
      <xdr:spPr bwMode="auto">
        <a:xfrm>
          <a:off x="4943475" y="23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0</xdr:row>
      <xdr:rowOff>142875</xdr:rowOff>
    </xdr:from>
    <xdr:to>
      <xdr:col>9</xdr:col>
      <xdr:colOff>200025</xdr:colOff>
      <xdr:row>1</xdr:row>
      <xdr:rowOff>190500</xdr:rowOff>
    </xdr:to>
    <xdr:sp macro="" textlink="">
      <xdr:nvSpPr>
        <xdr:cNvPr id="2" name="Rectangle 14">
          <a:extLst>
            <a:ext uri="{FF2B5EF4-FFF2-40B4-BE49-F238E27FC236}">
              <a16:creationId xmlns:a16="http://schemas.microsoft.com/office/drawing/2014/main" id="{00000000-0008-0000-0A00-000002000000}"/>
            </a:ext>
          </a:extLst>
        </xdr:cNvPr>
        <xdr:cNvSpPr>
          <a:spLocks noChangeArrowheads="1"/>
        </xdr:cNvSpPr>
      </xdr:nvSpPr>
      <xdr:spPr bwMode="auto">
        <a:xfrm>
          <a:off x="8982075" y="142875"/>
          <a:ext cx="885825" cy="238125"/>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en-US" sz="1200" b="0" i="0" u="none" strike="noStrike" baseline="0">
              <a:solidFill>
                <a:srgbClr val="000000"/>
              </a:solidFill>
              <a:latin typeface="Times New Roman"/>
              <a:cs typeface="Times New Roman"/>
            </a:rPr>
            <a:t>Biểu số 0</a:t>
          </a:r>
          <a:r>
            <a:rPr lang="vi-VN" sz="1200" b="0" i="0" u="none" strike="noStrike" baseline="0">
              <a:solidFill>
                <a:srgbClr val="000000"/>
              </a:solidFill>
              <a:latin typeface="Times New Roman"/>
              <a:cs typeface="Times New Roman"/>
            </a:rPr>
            <a:t>8</a:t>
          </a:r>
          <a:endParaRPr lang="en-US" sz="12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85725</xdr:colOff>
      <xdr:row>1</xdr:row>
      <xdr:rowOff>9524</xdr:rowOff>
    </xdr:from>
    <xdr:to>
      <xdr:col>3</xdr:col>
      <xdr:colOff>552450</xdr:colOff>
      <xdr:row>2</xdr:row>
      <xdr:rowOff>190500</xdr:rowOff>
    </xdr:to>
    <xdr:sp macro="" textlink="">
      <xdr:nvSpPr>
        <xdr:cNvPr id="2" name="Rectangle 15">
          <a:extLst>
            <a:ext uri="{FF2B5EF4-FFF2-40B4-BE49-F238E27FC236}">
              <a16:creationId xmlns:a16="http://schemas.microsoft.com/office/drawing/2014/main" id="{00000000-0008-0000-0B00-000002000000}"/>
            </a:ext>
          </a:extLst>
        </xdr:cNvPr>
        <xdr:cNvSpPr>
          <a:spLocks noChangeArrowheads="1"/>
        </xdr:cNvSpPr>
      </xdr:nvSpPr>
      <xdr:spPr bwMode="auto">
        <a:xfrm>
          <a:off x="6191250" y="209549"/>
          <a:ext cx="466725" cy="381001"/>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Biểu số 0</a:t>
          </a:r>
          <a:r>
            <a:rPr lang="vi-VN" sz="900" b="0" i="0" u="none" strike="noStrike" baseline="0">
              <a:solidFill>
                <a:srgbClr val="000000"/>
              </a:solidFill>
              <a:latin typeface="Times New Roman"/>
              <a:cs typeface="Times New Roman"/>
            </a:rPr>
            <a:t>9</a:t>
          </a:r>
          <a:endParaRPr lang="en-US" sz="9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85725</xdr:colOff>
      <xdr:row>0</xdr:row>
      <xdr:rowOff>47625</xdr:rowOff>
    </xdr:from>
    <xdr:to>
      <xdr:col>3</xdr:col>
      <xdr:colOff>552450</xdr:colOff>
      <xdr:row>2</xdr:row>
      <xdr:rowOff>57150</xdr:rowOff>
    </xdr:to>
    <xdr:sp macro="" textlink="">
      <xdr:nvSpPr>
        <xdr:cNvPr id="2" name="Rectangle 15">
          <a:extLst>
            <a:ext uri="{FF2B5EF4-FFF2-40B4-BE49-F238E27FC236}">
              <a16:creationId xmlns:a16="http://schemas.microsoft.com/office/drawing/2014/main" id="{00000000-0008-0000-0C00-000002000000}"/>
            </a:ext>
          </a:extLst>
        </xdr:cNvPr>
        <xdr:cNvSpPr>
          <a:spLocks noChangeArrowheads="1"/>
        </xdr:cNvSpPr>
      </xdr:nvSpPr>
      <xdr:spPr bwMode="auto">
        <a:xfrm>
          <a:off x="5553075" y="47625"/>
          <a:ext cx="466725" cy="409575"/>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Biểu số </a:t>
          </a:r>
          <a:r>
            <a:rPr lang="vi-VN" sz="900" b="0" i="0" u="none" strike="noStrike" baseline="0">
              <a:solidFill>
                <a:srgbClr val="000000"/>
              </a:solidFill>
              <a:latin typeface="Times New Roman"/>
              <a:cs typeface="Times New Roman"/>
            </a:rPr>
            <a:t>10</a:t>
          </a:r>
          <a:endParaRPr lang="en-US" sz="90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22\du%20toan\vui\San%20pham\Phu%20Tan_AG\Duong%20Day\LUUTAM\VBAO\BookJHFGJGXBGCCNCVCCVVCVCC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22\d\Congviec\Tam.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TT%20huyen%20Cang%20Long-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rsTham\Downloads\ss%202019%202020.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TBA110c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dmin\AppData\Local\Temp\Zalo%20Temp\TempDownloads\Bieu%20thu%20phi%20cac%20vinh%20quan%20dao%20Cat%20B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JHFGJGXBGCCNCVCCVVCVCC2"/>
      <sheetName val="#REF"/>
      <sheetName val="_REF"/>
      <sheetName val="MTP"/>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KH_Q1_Q2_01"/>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p轨uluc1"/>
      <sheetName val="Sheet3"/>
      <sheetName val="pÿÿluc1"/>
      <sheetName val="KPVÿÿBD "/>
      <sheetName val="general requirements"/>
      <sheetName val="CT Thang Mo"/>
      <sheetName val="CT  PL"/>
      <sheetName val="KC-moi"/>
      <sheetName val="BAOGIATHA_x000e_G"/>
      <sheetName val="TH-XL"/>
      <sheetName val="test"/>
      <sheetName val="Sheet2"/>
      <sheetName val="Sheet1"/>
      <sheetName val="DG-VL"/>
      <sheetName val="DG_CM"/>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CHITIET_VL_NC"/>
      <sheetName val="dongia__2_"/>
      <sheetName val="general_requirements"/>
      <sheetName val="TONG_HOP_VL_NC"/>
      <sheetName val="CHITIET_VL_NC_TT__1p"/>
      <sheetName val="TONG_HOP_VL_NC_TT"/>
      <sheetName val="KPVC_BD_"/>
      <sheetName val="CHITIET_VL_NC_TT_3p"/>
      <sheetName val="THPDMoi___2_"/>
      <sheetName val="t_h_HA_THE"/>
      <sheetName val="TH_VL__NC__DDHT_Thanhphuoc"/>
      <sheetName val="CT_Thang_Mo"/>
      <sheetName val="CT__PL"/>
      <sheetName val="KPVÿÿBD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Tonf hop du toan"/>
      <sheetName val="#REF"/>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
          <cell r="C4" t="e">
            <v>#N/A</v>
          </cell>
        </row>
      </sheetData>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ia vat tu"/>
      <sheetName val="Don gia_III"/>
      <sheetName val="tong hop"/>
      <sheetName val="Tong ke 1 pha"/>
      <sheetName val="Liet ke 1 pha"/>
      <sheetName val="LK TBA 1 PHA 1x25 "/>
      <sheetName val="LK TBA 1 PHA 1x37,5kVA"/>
      <sheetName val="BANG TONG HOP DU TOAN "/>
      <sheetName val="Bang THDT DD 1 P"/>
      <sheetName val=" VL-NC-MTC DZ trung the 1P"/>
      <sheetName val="Chi tiet mong-xa-chang (2)"/>
      <sheetName val="Du toan  TBA1x25kVA  "/>
      <sheetName val="DT VT TBA 1F 1x25"/>
      <sheetName val="NC TBA 1F (1x25)  "/>
      <sheetName val="Du toan  TBA1x37,5kVA   (2)"/>
      <sheetName val="DT VT TBA 1F (1x37,5)"/>
      <sheetName val="NC TBA 1F (1x37,5)   (2)"/>
      <sheetName val="Van chuyen duong dai"/>
      <sheetName val="Khao sat thiet ke"/>
      <sheetName val="Don gia III"/>
      <sheetName val="Don gia CT"/>
      <sheetName val="LK TBA 1 PHA 1x37,5k_x0016_A"/>
      <sheetName val="Don gia vung III"/>
      <sheetName val="KPVC-BD "/>
      <sheetName val="CHITIET VL-NC-TT -1p"/>
      <sheetName val="CHITIET VL-NC-TT-3p"/>
      <sheetName val="Don gia Dak Lak"/>
      <sheetName val="Don 'ia_III"/>
      <sheetName val="Dinh nghia"/>
      <sheetName val="CHITIET VL-NC"/>
      <sheetName val="BETON"/>
      <sheetName val="Dgia_vat_tu"/>
      <sheetName val="Don_gia_III"/>
      <sheetName val="tong_hop"/>
      <sheetName val="Tong_ke_1_pha"/>
      <sheetName val="Liet_ke_1_pha"/>
      <sheetName val="LK_TBA_1_PHA_1x25_"/>
      <sheetName val="LK_TBA_1_PHA_1x37,5kVA"/>
      <sheetName val="BANG_TONG_HOP_DU_TOAN_"/>
      <sheetName val="Bang_THDT_DD_1_P"/>
      <sheetName val="_VL-NC-MTC_DZ_trung_the_1P"/>
      <sheetName val="Chi_tiet_mong-xa-chang_(2)"/>
      <sheetName val="Du_toan__TBA1x25kVA__"/>
      <sheetName val="DT_VT_TBA_1F_1x25"/>
      <sheetName val="NC_TBA_1F_(1x25)__"/>
      <sheetName val="Du_toan__TBA1x37,5kVA___(2)"/>
      <sheetName val="DT_VT_TBA_1F_(1x37,5)"/>
      <sheetName val="NC_TBA_1F_(1x37,5)___(2)"/>
      <sheetName val="Van_chuyen_duong_dai"/>
      <sheetName val="Khao_sat_thiet_ke"/>
      <sheetName val="Don_gia_vung_III"/>
      <sheetName val="KPVC-BD_"/>
      <sheetName val="CHITIET_VL-NC-TT_-1p"/>
      <sheetName val="CHITIET_VL-NC-TT-3p"/>
      <sheetName val="Don_gia_III1"/>
      <sheetName val="Don_gia_CT"/>
      <sheetName val="Don_gia_Dak_Lak"/>
      <sheetName val="Don gia"/>
      <sheetName val="Chi tiet"/>
      <sheetName val="402"/>
      <sheetName val="CT Thang Mo"/>
      <sheetName val="CT  PL"/>
    </sheetNames>
    <sheetDataSet>
      <sheetData sheetId="0" refreshError="1">
        <row r="5">
          <cell r="A5" t="str">
            <v>Ñaø caûn BTCT 1,2m</v>
          </cell>
          <cell r="B5" t="str">
            <v>caùi</v>
          </cell>
          <cell r="C5">
            <v>60060</v>
          </cell>
          <cell r="F5" t="str">
            <v>XN beâ toâng TÑöùc</v>
          </cell>
        </row>
        <row r="6">
          <cell r="A6" t="str">
            <v>Ñaø caûn BTCT 1,5m</v>
          </cell>
          <cell r="B6" t="str">
            <v>caùi</v>
          </cell>
          <cell r="C6">
            <v>148050</v>
          </cell>
          <cell r="F6" t="str">
            <v>XN beâ toâng TÑöùc</v>
          </cell>
        </row>
        <row r="7">
          <cell r="A7" t="str">
            <v>Ñaø caûn BTCT 2,5m</v>
          </cell>
          <cell r="B7" t="str">
            <v>caùi</v>
          </cell>
          <cell r="C7">
            <v>256200</v>
          </cell>
          <cell r="F7" t="str">
            <v>XN beâ toâng TÑöùc</v>
          </cell>
        </row>
        <row r="8">
          <cell r="A8" t="str">
            <v>Coät</v>
          </cell>
        </row>
        <row r="9">
          <cell r="A9" t="str">
            <v>Coät BTLT 6,5m</v>
          </cell>
          <cell r="B9" t="str">
            <v>Coät</v>
          </cell>
          <cell r="F9" t="str">
            <v>XN beâ toâng TÑöùc</v>
          </cell>
        </row>
        <row r="10">
          <cell r="A10" t="str">
            <v>Coät BTLT 7,4m</v>
          </cell>
          <cell r="B10" t="str">
            <v>Coät</v>
          </cell>
          <cell r="C10">
            <v>544110</v>
          </cell>
          <cell r="F10" t="str">
            <v>XN beâ toâng TÑöùc</v>
          </cell>
        </row>
        <row r="11">
          <cell r="A11" t="str">
            <v>Coät BT vuoâng 7,5m</v>
          </cell>
          <cell r="B11" t="str">
            <v>Coät</v>
          </cell>
          <cell r="F11" t="str">
            <v>XN beâ toâng TÑöùc</v>
          </cell>
        </row>
        <row r="12">
          <cell r="A12" t="str">
            <v>Coät BTLT 8,4m</v>
          </cell>
          <cell r="B12" t="str">
            <v>Coät</v>
          </cell>
          <cell r="C12">
            <v>649950</v>
          </cell>
          <cell r="F12" t="str">
            <v>XN beâ toâng TÑöùc</v>
          </cell>
        </row>
        <row r="13">
          <cell r="A13" t="str">
            <v>Coät BTLT 9m</v>
          </cell>
          <cell r="B13" t="str">
            <v>Coät</v>
          </cell>
          <cell r="F13" t="str">
            <v>XN beâ toâng TÑöùc</v>
          </cell>
        </row>
        <row r="14">
          <cell r="A14" t="str">
            <v>Coät BTLT 10,5m</v>
          </cell>
          <cell r="B14" t="str">
            <v>Coät</v>
          </cell>
          <cell r="C14">
            <v>1107225</v>
          </cell>
          <cell r="F14" t="str">
            <v>XN beâ toâng TÑöùc</v>
          </cell>
        </row>
        <row r="15">
          <cell r="A15" t="str">
            <v>Coät BTLT 12m</v>
          </cell>
          <cell r="B15" t="str">
            <v>Coät</v>
          </cell>
          <cell r="C15">
            <v>1412775</v>
          </cell>
          <cell r="F15" t="str">
            <v>XN beâ toâng TÑöùc</v>
          </cell>
        </row>
        <row r="16">
          <cell r="A16" t="str">
            <v>Coät BTLT 14m</v>
          </cell>
          <cell r="B16" t="str">
            <v>Coät</v>
          </cell>
          <cell r="C16">
            <v>2481780</v>
          </cell>
          <cell r="F16" t="str">
            <v>XN beâ toâng TÑöùc</v>
          </cell>
        </row>
        <row r="17">
          <cell r="A17" t="str">
            <v>Coät BTLT 16m</v>
          </cell>
          <cell r="B17" t="str">
            <v>Coät</v>
          </cell>
          <cell r="C17">
            <v>3877720</v>
          </cell>
          <cell r="F17" t="str">
            <v>XN beâ toâng TÑöùc</v>
          </cell>
        </row>
        <row r="18">
          <cell r="A18" t="str">
            <v>Coät BTLT 18m</v>
          </cell>
          <cell r="B18" t="str">
            <v>Coät</v>
          </cell>
          <cell r="F18" t="str">
            <v>XN beâ toâng TÑöùc</v>
          </cell>
        </row>
        <row r="19">
          <cell r="A19" t="str">
            <v>Coät BTLT 20m</v>
          </cell>
          <cell r="B19" t="str">
            <v>Coät</v>
          </cell>
          <cell r="C19">
            <v>6405000</v>
          </cell>
          <cell r="F19" t="str">
            <v>XN beâ toâng TÑöùc</v>
          </cell>
        </row>
        <row r="20">
          <cell r="A20" t="str">
            <v>02-1461</v>
          </cell>
          <cell r="B20" t="str">
            <v>taán</v>
          </cell>
          <cell r="D20">
            <v>140241</v>
          </cell>
          <cell r="F20" t="str">
            <v>V/c coät BTLT cöï ly 100m</v>
          </cell>
        </row>
        <row r="21">
          <cell r="A21" t="str">
            <v>02-1462</v>
          </cell>
          <cell r="B21" t="str">
            <v>taán</v>
          </cell>
          <cell r="D21">
            <v>131705</v>
          </cell>
          <cell r="F21" t="str">
            <v>V/c coät BTLT cöï ly 300m</v>
          </cell>
        </row>
        <row r="22">
          <cell r="A22" t="str">
            <v>02-1463</v>
          </cell>
          <cell r="B22" t="str">
            <v>taán</v>
          </cell>
          <cell r="D22">
            <v>129940</v>
          </cell>
          <cell r="F22" t="str">
            <v>V/c coät BTLT cöï ly 500m</v>
          </cell>
        </row>
        <row r="23">
          <cell r="A23" t="str">
            <v>02-1464</v>
          </cell>
          <cell r="B23" t="str">
            <v>taán</v>
          </cell>
          <cell r="D23">
            <v>128762</v>
          </cell>
          <cell r="F23" t="str">
            <v>V/c coät BTLT cöï ly &gt;500m</v>
          </cell>
        </row>
        <row r="24">
          <cell r="A24" t="str">
            <v>Daây söù phuï kieän</v>
          </cell>
        </row>
        <row r="25">
          <cell r="A25" t="str">
            <v>Daây daãn AC-35</v>
          </cell>
          <cell r="B25" t="str">
            <v>kg</v>
          </cell>
          <cell r="C25">
            <v>26100</v>
          </cell>
        </row>
        <row r="26">
          <cell r="A26" t="str">
            <v>Daây daãn AC-50</v>
          </cell>
          <cell r="B26" t="str">
            <v>kg</v>
          </cell>
          <cell r="C26">
            <v>26100</v>
          </cell>
        </row>
        <row r="27">
          <cell r="A27" t="str">
            <v>Daây daãn AC-70</v>
          </cell>
          <cell r="B27" t="str">
            <v>kg</v>
          </cell>
          <cell r="C27">
            <v>25800</v>
          </cell>
        </row>
        <row r="28">
          <cell r="A28" t="str">
            <v>Daây daãn AC-95</v>
          </cell>
          <cell r="B28" t="str">
            <v>kg</v>
          </cell>
          <cell r="C28">
            <v>26100</v>
          </cell>
        </row>
        <row r="29">
          <cell r="A29" t="str">
            <v>Daây daãn AC-120</v>
          </cell>
          <cell r="B29" t="str">
            <v>kg</v>
          </cell>
          <cell r="C29">
            <v>26100</v>
          </cell>
        </row>
        <row r="30">
          <cell r="A30" t="str">
            <v>Daây daãn AC-150</v>
          </cell>
          <cell r="B30" t="str">
            <v>kg</v>
          </cell>
          <cell r="C30">
            <v>26100</v>
          </cell>
        </row>
        <row r="31">
          <cell r="A31" t="str">
            <v>Daây daãn AC-185</v>
          </cell>
          <cell r="B31" t="str">
            <v>kg</v>
          </cell>
          <cell r="C31">
            <v>26100</v>
          </cell>
        </row>
        <row r="32">
          <cell r="A32" t="str">
            <v>Daây daãn AC-240</v>
          </cell>
          <cell r="B32" t="str">
            <v>kg</v>
          </cell>
          <cell r="C32">
            <v>26100</v>
          </cell>
        </row>
        <row r="33">
          <cell r="A33" t="str">
            <v>Daây daãn A-16</v>
          </cell>
          <cell r="B33" t="str">
            <v>kg</v>
          </cell>
          <cell r="C33">
            <v>34000</v>
          </cell>
        </row>
        <row r="34">
          <cell r="A34" t="str">
            <v>Daây daãn A-25</v>
          </cell>
          <cell r="B34" t="str">
            <v>kg</v>
          </cell>
          <cell r="C34">
            <v>34000</v>
          </cell>
        </row>
        <row r="35">
          <cell r="A35" t="str">
            <v>Daây daãn A-35</v>
          </cell>
          <cell r="B35" t="str">
            <v>kg</v>
          </cell>
          <cell r="C35">
            <v>34000</v>
          </cell>
        </row>
        <row r="36">
          <cell r="A36" t="str">
            <v>Daây daãn A-50</v>
          </cell>
          <cell r="B36" t="str">
            <v>kg</v>
          </cell>
          <cell r="C36">
            <v>34000</v>
          </cell>
        </row>
        <row r="37">
          <cell r="A37" t="str">
            <v>Daây daãn A-70</v>
          </cell>
          <cell r="B37" t="str">
            <v>kg</v>
          </cell>
          <cell r="C37">
            <v>32500</v>
          </cell>
        </row>
        <row r="38">
          <cell r="A38" t="str">
            <v>Daây daãn A-95</v>
          </cell>
          <cell r="B38" t="str">
            <v>kg</v>
          </cell>
          <cell r="C38">
            <v>32500</v>
          </cell>
        </row>
        <row r="39">
          <cell r="A39" t="str">
            <v>Daây daãn A-120</v>
          </cell>
          <cell r="B39" t="str">
            <v>kg</v>
          </cell>
          <cell r="C39">
            <v>32500</v>
          </cell>
        </row>
        <row r="40">
          <cell r="A40" t="str">
            <v>Daây daãn A-150</v>
          </cell>
          <cell r="B40" t="str">
            <v>kg</v>
          </cell>
          <cell r="C40">
            <v>32500</v>
          </cell>
        </row>
        <row r="41">
          <cell r="A41" t="str">
            <v>Daây daãn A-185</v>
          </cell>
          <cell r="B41" t="str">
            <v>kg</v>
          </cell>
          <cell r="C41">
            <v>32000</v>
          </cell>
        </row>
        <row r="42">
          <cell r="A42" t="str">
            <v>Daây daãn A-240</v>
          </cell>
          <cell r="B42" t="str">
            <v>kg</v>
          </cell>
          <cell r="C42">
            <v>32000</v>
          </cell>
        </row>
        <row r="43">
          <cell r="A43" t="str">
            <v>Daây daãn A-300</v>
          </cell>
          <cell r="B43" t="str">
            <v>kg</v>
          </cell>
          <cell r="C43">
            <v>32000</v>
          </cell>
        </row>
        <row r="44">
          <cell r="A44" t="str">
            <v>Daây daãn CV-22</v>
          </cell>
          <cell r="B44" t="str">
            <v>m</v>
          </cell>
          <cell r="C44">
            <v>10300</v>
          </cell>
        </row>
        <row r="45">
          <cell r="A45" t="str">
            <v>Daây daãn CV-25</v>
          </cell>
          <cell r="B45" t="str">
            <v>m</v>
          </cell>
          <cell r="C45">
            <v>11500</v>
          </cell>
        </row>
        <row r="46">
          <cell r="A46" t="str">
            <v>Daây daãn CV-30</v>
          </cell>
          <cell r="B46" t="str">
            <v>m</v>
          </cell>
          <cell r="C46">
            <v>13100</v>
          </cell>
        </row>
        <row r="47">
          <cell r="A47" t="str">
            <v>Daây daãn CV-35</v>
          </cell>
          <cell r="B47" t="str">
            <v>m</v>
          </cell>
          <cell r="C47">
            <v>15600</v>
          </cell>
        </row>
        <row r="48">
          <cell r="A48" t="str">
            <v>Daây daãn CV-38</v>
          </cell>
          <cell r="B48" t="str">
            <v>m</v>
          </cell>
          <cell r="C48">
            <v>16000</v>
          </cell>
        </row>
        <row r="49">
          <cell r="A49" t="str">
            <v>Daây daãn CV-50</v>
          </cell>
          <cell r="B49" t="str">
            <v>m</v>
          </cell>
          <cell r="C49">
            <v>21000</v>
          </cell>
        </row>
        <row r="50">
          <cell r="A50" t="str">
            <v>Daây daãn CV-60</v>
          </cell>
          <cell r="B50" t="str">
            <v>m</v>
          </cell>
          <cell r="C50">
            <v>26400</v>
          </cell>
        </row>
        <row r="51">
          <cell r="A51" t="str">
            <v>Daây daãn CV-70</v>
          </cell>
          <cell r="B51" t="str">
            <v>m</v>
          </cell>
          <cell r="C51">
            <v>29900</v>
          </cell>
        </row>
        <row r="52">
          <cell r="A52" t="str">
            <v>Daây daãn CV-75</v>
          </cell>
          <cell r="B52" t="str">
            <v>m</v>
          </cell>
          <cell r="C52">
            <v>32700</v>
          </cell>
        </row>
        <row r="53">
          <cell r="A53" t="str">
            <v>Daây daãn CV-80</v>
          </cell>
          <cell r="B53" t="str">
            <v>m</v>
          </cell>
          <cell r="C53">
            <v>34100</v>
          </cell>
        </row>
        <row r="54">
          <cell r="A54" t="str">
            <v>Daây daãn CV-95</v>
          </cell>
          <cell r="B54" t="str">
            <v>m</v>
          </cell>
          <cell r="C54">
            <v>40300</v>
          </cell>
        </row>
        <row r="55">
          <cell r="A55" t="str">
            <v>Daây daãn CV-100</v>
          </cell>
          <cell r="B55" t="str">
            <v>m</v>
          </cell>
          <cell r="C55">
            <v>42700</v>
          </cell>
        </row>
        <row r="56">
          <cell r="A56" t="str">
            <v>Daây daãn CV-120</v>
          </cell>
          <cell r="B56" t="str">
            <v>m</v>
          </cell>
          <cell r="C56">
            <v>48200</v>
          </cell>
        </row>
        <row r="57">
          <cell r="A57" t="str">
            <v>Daây daãn CV-125</v>
          </cell>
          <cell r="B57" t="str">
            <v>m</v>
          </cell>
          <cell r="C57">
            <v>52400</v>
          </cell>
        </row>
        <row r="58">
          <cell r="A58" t="str">
            <v>Daây daãn CV-150</v>
          </cell>
          <cell r="B58" t="str">
            <v>m</v>
          </cell>
          <cell r="C58">
            <v>63500</v>
          </cell>
        </row>
        <row r="59">
          <cell r="A59" t="str">
            <v>Daây daãn CV-185</v>
          </cell>
          <cell r="B59" t="str">
            <v>m</v>
          </cell>
          <cell r="C59">
            <v>76800</v>
          </cell>
        </row>
        <row r="60">
          <cell r="A60" t="str">
            <v>Daây daãn CV-200</v>
          </cell>
          <cell r="B60" t="str">
            <v>m</v>
          </cell>
          <cell r="C60">
            <v>81600</v>
          </cell>
        </row>
        <row r="61">
          <cell r="A61" t="str">
            <v>Daây daãn CV-240</v>
          </cell>
          <cell r="B61" t="str">
            <v>m</v>
          </cell>
          <cell r="C61">
            <v>99400</v>
          </cell>
        </row>
        <row r="62">
          <cell r="A62" t="str">
            <v>Daây daãn CV-250</v>
          </cell>
          <cell r="B62" t="str">
            <v>m</v>
          </cell>
          <cell r="C62">
            <v>106000</v>
          </cell>
        </row>
        <row r="63">
          <cell r="A63" t="str">
            <v>Daây daãn CV-300</v>
          </cell>
          <cell r="B63" t="str">
            <v>m</v>
          </cell>
          <cell r="C63">
            <v>123600</v>
          </cell>
        </row>
        <row r="64">
          <cell r="A64" t="str">
            <v>Daây daãn CV-325</v>
          </cell>
          <cell r="B64" t="str">
            <v>m</v>
          </cell>
          <cell r="C64">
            <v>134100</v>
          </cell>
        </row>
        <row r="65">
          <cell r="A65" t="str">
            <v>Daây daãn CV-350</v>
          </cell>
          <cell r="B65" t="str">
            <v>m</v>
          </cell>
          <cell r="C65">
            <v>149500</v>
          </cell>
        </row>
        <row r="66">
          <cell r="A66" t="str">
            <v>Daây daãn CV-400</v>
          </cell>
          <cell r="B66" t="str">
            <v>m</v>
          </cell>
          <cell r="C66">
            <v>164800</v>
          </cell>
        </row>
        <row r="67">
          <cell r="A67" t="str">
            <v>Daây daãn CV-500</v>
          </cell>
          <cell r="B67" t="str">
            <v>m</v>
          </cell>
          <cell r="C67">
            <v>199400</v>
          </cell>
        </row>
        <row r="68">
          <cell r="A68" t="str">
            <v>Caùp ñoàng boïc XLPE/PVC 24KV-1x16mm2</v>
          </cell>
          <cell r="B68" t="str">
            <v>m</v>
          </cell>
          <cell r="C68">
            <v>36800</v>
          </cell>
        </row>
        <row r="69">
          <cell r="A69" t="str">
            <v>Caùp ñoàng boïc XLPE/PVC 24KV-1x22mm2</v>
          </cell>
          <cell r="B69" t="str">
            <v>m</v>
          </cell>
          <cell r="C69">
            <v>40200</v>
          </cell>
        </row>
        <row r="70">
          <cell r="A70" t="str">
            <v>Caùp ñoàng boïc XLPE/PVC 24KV-1x25mm2</v>
          </cell>
          <cell r="B70" t="str">
            <v>m</v>
          </cell>
          <cell r="C70">
            <v>42200</v>
          </cell>
        </row>
        <row r="71">
          <cell r="A71" t="str">
            <v>Caùp ñoàng boïc XLPE/PVC 24KV-1x35mm2</v>
          </cell>
          <cell r="B71" t="str">
            <v>m</v>
          </cell>
          <cell r="C71">
            <v>48300</v>
          </cell>
        </row>
        <row r="72">
          <cell r="A72" t="str">
            <v>Caùp ñoàng boïc XLPE/PVC 24KV-1x38mm2</v>
          </cell>
          <cell r="B72" t="str">
            <v>m</v>
          </cell>
          <cell r="C72">
            <v>49600</v>
          </cell>
        </row>
        <row r="73">
          <cell r="A73" t="str">
            <v>Caùp ñoàng boïc XLPE/PVC 24KV-1x50mm2</v>
          </cell>
          <cell r="B73" t="str">
            <v>m</v>
          </cell>
          <cell r="C73">
            <v>57200</v>
          </cell>
        </row>
        <row r="74">
          <cell r="A74" t="str">
            <v>Caùp ñoàng boïc XLPE/PVC 24KV-1x60mm2</v>
          </cell>
          <cell r="B74" t="str">
            <v>m</v>
          </cell>
          <cell r="C74">
            <v>62800</v>
          </cell>
        </row>
        <row r="75">
          <cell r="A75" t="str">
            <v>Caùp ñoàng boïc XLPE/PVC 24KV-1x70mm2</v>
          </cell>
          <cell r="B75" t="str">
            <v>m</v>
          </cell>
          <cell r="C75">
            <v>68300</v>
          </cell>
        </row>
        <row r="76">
          <cell r="A76" t="str">
            <v>Caùp ñoàng boïc XLPE/PVC 24KV-1x75mm2</v>
          </cell>
          <cell r="B76" t="str">
            <v>m</v>
          </cell>
          <cell r="C76">
            <v>73100</v>
          </cell>
        </row>
        <row r="77">
          <cell r="A77" t="str">
            <v>Caùp ñoàng boïc XLPE/PVC 24KV-1x95mm2</v>
          </cell>
          <cell r="B77" t="str">
            <v>m</v>
          </cell>
          <cell r="C77">
            <v>82800</v>
          </cell>
        </row>
        <row r="78">
          <cell r="A78" t="str">
            <v>Caùp ñoàng boïc XLPE/PVC 24KV-1x100mm2</v>
          </cell>
          <cell r="B78" t="str">
            <v>m</v>
          </cell>
          <cell r="C78">
            <v>87200</v>
          </cell>
        </row>
        <row r="79">
          <cell r="A79" t="str">
            <v>Caùp ñoàng boïc XLPE/PVC 24KV-1x120mm2</v>
          </cell>
          <cell r="B79" t="str">
            <v>m</v>
          </cell>
          <cell r="C79">
            <v>94500</v>
          </cell>
        </row>
        <row r="80">
          <cell r="A80" t="str">
            <v>Daây ñoàng traàn M-16 mm2</v>
          </cell>
          <cell r="B80" t="str">
            <v>kg</v>
          </cell>
          <cell r="C80">
            <v>40500</v>
          </cell>
        </row>
        <row r="81">
          <cell r="A81" t="str">
            <v>Daây ñoàng traàn M-25 mm2</v>
          </cell>
          <cell r="B81" t="str">
            <v>kg</v>
          </cell>
          <cell r="C81">
            <v>38500</v>
          </cell>
        </row>
        <row r="82">
          <cell r="A82" t="str">
            <v>Daây ñoàng traàn M-35 mm2</v>
          </cell>
          <cell r="B82" t="str">
            <v>kg</v>
          </cell>
          <cell r="C82">
            <v>38500</v>
          </cell>
        </row>
        <row r="83">
          <cell r="A83" t="str">
            <v>Daây ñoàng traàn M-50 mm2</v>
          </cell>
          <cell r="B83" t="str">
            <v>kg</v>
          </cell>
          <cell r="C83">
            <v>38500</v>
          </cell>
        </row>
        <row r="84">
          <cell r="A84" t="str">
            <v>Daây ñoàng traàn M-70 mm2</v>
          </cell>
          <cell r="B84" t="str">
            <v>kg</v>
          </cell>
          <cell r="C84">
            <v>38500</v>
          </cell>
        </row>
        <row r="85">
          <cell r="A85" t="str">
            <v>Daây ñoàng traàn M-95 mm2</v>
          </cell>
          <cell r="B85" t="str">
            <v>kg</v>
          </cell>
          <cell r="C85">
            <v>38500</v>
          </cell>
        </row>
        <row r="86">
          <cell r="A86" t="str">
            <v>Daây ñoàng traàn M-120 mm2</v>
          </cell>
          <cell r="B86" t="str">
            <v>kg</v>
          </cell>
          <cell r="C86">
            <v>38500</v>
          </cell>
        </row>
        <row r="87">
          <cell r="A87" t="str">
            <v>Daây ñoàng traàn M-150 mm2</v>
          </cell>
          <cell r="B87" t="str">
            <v>kg</v>
          </cell>
          <cell r="C87">
            <v>38500</v>
          </cell>
        </row>
        <row r="88">
          <cell r="A88" t="str">
            <v>Daây ñoàng traàn M-180 mm2</v>
          </cell>
          <cell r="B88" t="str">
            <v>kg</v>
          </cell>
          <cell r="C88">
            <v>38500</v>
          </cell>
        </row>
        <row r="89">
          <cell r="A89" t="str">
            <v>Daây ñoàng traàn M-240 mm2</v>
          </cell>
          <cell r="B89" t="str">
            <v>kg</v>
          </cell>
          <cell r="C89">
            <v>38500</v>
          </cell>
        </row>
        <row r="90">
          <cell r="A90" t="str">
            <v>Daây ñoàng traàn M-300 mm2</v>
          </cell>
          <cell r="B90" t="str">
            <v>kg</v>
          </cell>
          <cell r="C90">
            <v>38500</v>
          </cell>
        </row>
        <row r="91">
          <cell r="A91" t="str">
            <v>Caùch ñieän</v>
          </cell>
        </row>
        <row r="92">
          <cell r="A92" t="str">
            <v>Söù chaèng</v>
          </cell>
          <cell r="B92" t="str">
            <v>Caùi</v>
          </cell>
          <cell r="C92">
            <v>12390</v>
          </cell>
        </row>
        <row r="93">
          <cell r="A93" t="str">
            <v>Söù treo Polymer 24 kV</v>
          </cell>
          <cell r="B93" t="str">
            <v>Caùi</v>
          </cell>
          <cell r="C93">
            <v>262500</v>
          </cell>
        </row>
        <row r="94">
          <cell r="A94" t="str">
            <v>Söù ñöùng 6 kV</v>
          </cell>
          <cell r="B94" t="str">
            <v>boä</v>
          </cell>
        </row>
        <row r="95">
          <cell r="A95" t="str">
            <v>Söù ñöùng 10 kV</v>
          </cell>
          <cell r="B95" t="str">
            <v>boä</v>
          </cell>
        </row>
        <row r="96">
          <cell r="A96" t="str">
            <v>Söù ñöùng 15 kV</v>
          </cell>
          <cell r="B96" t="str">
            <v>boä</v>
          </cell>
          <cell r="C96">
            <v>35000</v>
          </cell>
        </row>
        <row r="97">
          <cell r="A97" t="str">
            <v>Söù ñöùng 22 kV</v>
          </cell>
          <cell r="B97" t="str">
            <v>boä</v>
          </cell>
          <cell r="C97">
            <v>50000</v>
          </cell>
        </row>
        <row r="98">
          <cell r="A98" t="str">
            <v>Söù ñöùng choáng nhieãm maën</v>
          </cell>
          <cell r="B98" t="str">
            <v>boä</v>
          </cell>
          <cell r="C98">
            <v>80000</v>
          </cell>
        </row>
        <row r="99">
          <cell r="A99" t="str">
            <v>Ty söù ñöùng</v>
          </cell>
          <cell r="B99" t="str">
            <v>boä</v>
          </cell>
          <cell r="C99">
            <v>9905</v>
          </cell>
        </row>
        <row r="100">
          <cell r="A100" t="str">
            <v>Söù ñöùng 35 kV</v>
          </cell>
          <cell r="B100" t="str">
            <v>boä</v>
          </cell>
          <cell r="C100">
            <v>95000</v>
          </cell>
        </row>
        <row r="101">
          <cell r="A101" t="str">
            <v>Söù ñöùng 35 kV (ty maï)</v>
          </cell>
          <cell r="B101" t="str">
            <v>boä</v>
          </cell>
          <cell r="C101">
            <v>111762</v>
          </cell>
        </row>
        <row r="102">
          <cell r="A102" t="str">
            <v>Chaân söù ñænh</v>
          </cell>
          <cell r="B102" t="str">
            <v>Caùi</v>
          </cell>
          <cell r="C102">
            <v>29000</v>
          </cell>
        </row>
        <row r="103">
          <cell r="A103" t="str">
            <v xml:space="preserve">Söù oáng chæ </v>
          </cell>
          <cell r="B103" t="str">
            <v>boä</v>
          </cell>
          <cell r="C103">
            <v>3675</v>
          </cell>
        </row>
        <row r="104">
          <cell r="A104" t="str">
            <v>Söù baùt 24 kV</v>
          </cell>
          <cell r="B104" t="str">
            <v>boä</v>
          </cell>
          <cell r="C104">
            <v>85000</v>
          </cell>
        </row>
        <row r="105">
          <cell r="A105" t="str">
            <v>Moùc treo chöõ U (ma ní)</v>
          </cell>
          <cell r="B105" t="str">
            <v>boä</v>
          </cell>
          <cell r="C105">
            <v>12601</v>
          </cell>
        </row>
        <row r="106">
          <cell r="A106" t="str">
            <v>Uclevis + Buloâng 16-250/65</v>
          </cell>
          <cell r="B106" t="str">
            <v>boä</v>
          </cell>
          <cell r="C106">
            <v>6780</v>
          </cell>
        </row>
        <row r="107">
          <cell r="A107" t="str">
            <v>Rack 1 söù</v>
          </cell>
          <cell r="B107" t="str">
            <v>boä</v>
          </cell>
          <cell r="C107">
            <v>3619</v>
          </cell>
        </row>
        <row r="108">
          <cell r="A108" t="str">
            <v>Rack 2 söù</v>
          </cell>
          <cell r="B108" t="str">
            <v>boä</v>
          </cell>
          <cell r="C108">
            <v>16286</v>
          </cell>
        </row>
        <row r="109">
          <cell r="A109" t="str">
            <v>Rack 3 söù</v>
          </cell>
          <cell r="B109" t="str">
            <v>boä</v>
          </cell>
          <cell r="C109">
            <v>22762</v>
          </cell>
        </row>
        <row r="110">
          <cell r="A110" t="str">
            <v>Rack 4 söù</v>
          </cell>
          <cell r="B110" t="str">
            <v>boä</v>
          </cell>
          <cell r="C110">
            <v>32571</v>
          </cell>
        </row>
        <row r="111">
          <cell r="A111" t="str">
            <v>Maùng che daây chaèng (keøm bu loâng)</v>
          </cell>
          <cell r="B111" t="str">
            <v>caùi</v>
          </cell>
          <cell r="C111">
            <v>15225</v>
          </cell>
        </row>
        <row r="112">
          <cell r="A112" t="str">
            <v>Taêng ñô caùp</v>
          </cell>
          <cell r="B112" t="str">
            <v>caùi</v>
          </cell>
          <cell r="C112">
            <v>15000</v>
          </cell>
        </row>
        <row r="113">
          <cell r="A113" t="str">
            <v>Bulon</v>
          </cell>
        </row>
        <row r="114">
          <cell r="A114" t="str">
            <v>Bulon: M12 x 50</v>
          </cell>
          <cell r="B114" t="str">
            <v>boä</v>
          </cell>
          <cell r="C114">
            <v>930</v>
          </cell>
        </row>
        <row r="115">
          <cell r="A115" t="str">
            <v>Bulon: M16 x 50</v>
          </cell>
          <cell r="B115" t="str">
            <v>boä</v>
          </cell>
          <cell r="C115">
            <v>2190</v>
          </cell>
        </row>
        <row r="116">
          <cell r="A116" t="str">
            <v>Bulon: M16 x 70</v>
          </cell>
          <cell r="B116" t="str">
            <v>boä</v>
          </cell>
          <cell r="C116">
            <v>2800</v>
          </cell>
        </row>
        <row r="117">
          <cell r="A117" t="str">
            <v>Bulon: M16 x 100</v>
          </cell>
          <cell r="B117" t="str">
            <v>boä</v>
          </cell>
          <cell r="C117">
            <v>2900</v>
          </cell>
        </row>
        <row r="118">
          <cell r="A118" t="str">
            <v>Bulon: M16 x 120</v>
          </cell>
          <cell r="B118" t="str">
            <v>boä</v>
          </cell>
          <cell r="C118">
            <v>3300</v>
          </cell>
        </row>
        <row r="119">
          <cell r="A119" t="str">
            <v>Bulon: M16 x 150</v>
          </cell>
          <cell r="B119" t="str">
            <v>boä</v>
          </cell>
          <cell r="C119">
            <v>3619</v>
          </cell>
        </row>
        <row r="120">
          <cell r="A120" t="str">
            <v>Bulon: M16 x 175</v>
          </cell>
          <cell r="B120" t="str">
            <v>boä</v>
          </cell>
          <cell r="C120">
            <v>4182</v>
          </cell>
        </row>
        <row r="121">
          <cell r="A121" t="str">
            <v>Bulon: M16 x 200</v>
          </cell>
          <cell r="B121" t="str">
            <v>boä</v>
          </cell>
          <cell r="C121">
            <v>4381</v>
          </cell>
        </row>
        <row r="122">
          <cell r="A122" t="str">
            <v>Bulon: M16 x 240</v>
          </cell>
          <cell r="B122" t="str">
            <v>boä</v>
          </cell>
          <cell r="C122">
            <v>4885.8499999999995</v>
          </cell>
        </row>
        <row r="123">
          <cell r="A123" t="str">
            <v>Bulon: M16 x 250</v>
          </cell>
          <cell r="B123" t="str">
            <v>boä</v>
          </cell>
          <cell r="C123">
            <v>5143</v>
          </cell>
        </row>
        <row r="124">
          <cell r="A124" t="str">
            <v>Bulon: M16 x 280</v>
          </cell>
          <cell r="B124" t="str">
            <v>boä</v>
          </cell>
          <cell r="C124">
            <v>6062</v>
          </cell>
        </row>
        <row r="125">
          <cell r="A125" t="str">
            <v>Bulon maét M16 x 300</v>
          </cell>
          <cell r="B125" t="str">
            <v>boä</v>
          </cell>
          <cell r="C125">
            <v>10762</v>
          </cell>
        </row>
        <row r="126">
          <cell r="A126" t="str">
            <v>Bulon maét M16 x 230</v>
          </cell>
          <cell r="B126" t="str">
            <v>boä</v>
          </cell>
          <cell r="C126">
            <v>9685.8000000000011</v>
          </cell>
        </row>
        <row r="127">
          <cell r="A127" t="str">
            <v>Bulon: M16 x 300</v>
          </cell>
          <cell r="B127" t="str">
            <v>boä</v>
          </cell>
          <cell r="C127">
            <v>5905</v>
          </cell>
        </row>
        <row r="128">
          <cell r="A128" t="str">
            <v>Bulon: M16 x 350</v>
          </cell>
          <cell r="B128" t="str">
            <v>boä</v>
          </cell>
          <cell r="C128">
            <v>6381</v>
          </cell>
        </row>
        <row r="129">
          <cell r="A129" t="str">
            <v>Bulon: M16 x 400</v>
          </cell>
          <cell r="B129" t="str">
            <v>boä</v>
          </cell>
          <cell r="C129">
            <v>7143</v>
          </cell>
        </row>
        <row r="130">
          <cell r="A130" t="str">
            <v>Bulon: M16 x 450</v>
          </cell>
          <cell r="B130" t="str">
            <v>boä</v>
          </cell>
          <cell r="C130">
            <v>7810</v>
          </cell>
        </row>
        <row r="131">
          <cell r="A131" t="str">
            <v>Bulon: M16 x 280</v>
          </cell>
          <cell r="B131" t="str">
            <v>boä</v>
          </cell>
          <cell r="C131">
            <v>5000</v>
          </cell>
        </row>
        <row r="132">
          <cell r="A132" t="str">
            <v>Bulon: M18 x 50</v>
          </cell>
          <cell r="B132" t="str">
            <v>boä</v>
          </cell>
          <cell r="C132">
            <v>2000</v>
          </cell>
        </row>
        <row r="133">
          <cell r="A133" t="str">
            <v>Bulon: M20 x 45</v>
          </cell>
          <cell r="B133" t="str">
            <v>boä</v>
          </cell>
          <cell r="C133">
            <v>3900</v>
          </cell>
        </row>
        <row r="134">
          <cell r="A134" t="str">
            <v>Bulon: M20 x 60</v>
          </cell>
          <cell r="B134" t="str">
            <v>boä</v>
          </cell>
          <cell r="C134">
            <v>4300</v>
          </cell>
        </row>
        <row r="135">
          <cell r="A135" t="str">
            <v>Bulon: M20 x 70</v>
          </cell>
          <cell r="B135" t="str">
            <v>boä</v>
          </cell>
          <cell r="C135">
            <v>4700</v>
          </cell>
        </row>
        <row r="136">
          <cell r="A136" t="str">
            <v>Bulon: M20 x 100</v>
          </cell>
          <cell r="B136" t="str">
            <v>boä</v>
          </cell>
          <cell r="C136">
            <v>6300</v>
          </cell>
        </row>
        <row r="137">
          <cell r="A137" t="str">
            <v>Bulon: M20 x 120</v>
          </cell>
          <cell r="B137" t="str">
            <v>boä</v>
          </cell>
          <cell r="C137">
            <v>5800</v>
          </cell>
        </row>
        <row r="138">
          <cell r="A138" t="str">
            <v>Bulon: M20 x 150</v>
          </cell>
          <cell r="B138" t="str">
            <v>boä</v>
          </cell>
          <cell r="C138">
            <v>6400</v>
          </cell>
        </row>
        <row r="139">
          <cell r="A139" t="str">
            <v>Bulon: M20 x 200</v>
          </cell>
          <cell r="B139" t="str">
            <v>boä</v>
          </cell>
          <cell r="C139">
            <v>7500</v>
          </cell>
        </row>
        <row r="140">
          <cell r="A140" t="str">
            <v>Bulon: M20 x 250</v>
          </cell>
          <cell r="B140" t="str">
            <v>boä</v>
          </cell>
          <cell r="C140">
            <v>8500</v>
          </cell>
        </row>
        <row r="141">
          <cell r="A141" t="str">
            <v>Bulon: M20 x 300</v>
          </cell>
          <cell r="B141" t="str">
            <v>boä</v>
          </cell>
          <cell r="C141">
            <v>9500</v>
          </cell>
        </row>
        <row r="142">
          <cell r="A142" t="str">
            <v>Bulon: M20 x 350</v>
          </cell>
          <cell r="B142" t="str">
            <v>boä</v>
          </cell>
          <cell r="C142">
            <v>10500</v>
          </cell>
        </row>
        <row r="143">
          <cell r="A143" t="str">
            <v>Bulon: M20 x 400</v>
          </cell>
          <cell r="B143" t="str">
            <v>boä</v>
          </cell>
          <cell r="C143">
            <v>11500</v>
          </cell>
        </row>
        <row r="144">
          <cell r="A144" t="str">
            <v>Bulon: M20 x 500</v>
          </cell>
          <cell r="B144" t="str">
            <v>boä</v>
          </cell>
          <cell r="C144">
            <v>13500</v>
          </cell>
        </row>
        <row r="145">
          <cell r="A145" t="str">
            <v>Bulon: M22 x 80</v>
          </cell>
          <cell r="B145" t="str">
            <v>boä</v>
          </cell>
          <cell r="C145">
            <v>6000</v>
          </cell>
        </row>
        <row r="146">
          <cell r="A146" t="str">
            <v>Bulon: M22 x 100</v>
          </cell>
          <cell r="B146" t="str">
            <v>boä</v>
          </cell>
          <cell r="C146">
            <v>6500</v>
          </cell>
        </row>
        <row r="147">
          <cell r="A147" t="str">
            <v>Bulon: M22 x 120</v>
          </cell>
          <cell r="B147" t="str">
            <v>boä</v>
          </cell>
          <cell r="C147">
            <v>7000</v>
          </cell>
        </row>
        <row r="148">
          <cell r="A148" t="str">
            <v>Bulon: M22 x 150</v>
          </cell>
          <cell r="B148" t="str">
            <v>boä</v>
          </cell>
          <cell r="C148">
            <v>7700</v>
          </cell>
        </row>
        <row r="149">
          <cell r="A149" t="str">
            <v>Bulon: M22 x 180</v>
          </cell>
          <cell r="B149" t="str">
            <v>boä</v>
          </cell>
          <cell r="C149">
            <v>8400</v>
          </cell>
        </row>
        <row r="150">
          <cell r="A150" t="str">
            <v>Bulon: M22 x 200</v>
          </cell>
          <cell r="B150" t="str">
            <v>boä</v>
          </cell>
          <cell r="C150">
            <v>9000</v>
          </cell>
        </row>
        <row r="151">
          <cell r="A151" t="str">
            <v>Bulon: M22 x 250</v>
          </cell>
          <cell r="B151" t="str">
            <v>boä</v>
          </cell>
          <cell r="C151">
            <v>10200</v>
          </cell>
        </row>
        <row r="152">
          <cell r="A152" t="str">
            <v>Bulon: M22 x 300</v>
          </cell>
          <cell r="B152" t="str">
            <v>boä</v>
          </cell>
          <cell r="C152">
            <v>11500</v>
          </cell>
        </row>
        <row r="153">
          <cell r="A153" t="str">
            <v>Bulon: M22 x 350</v>
          </cell>
          <cell r="B153" t="str">
            <v>boä</v>
          </cell>
          <cell r="C153">
            <v>12200</v>
          </cell>
        </row>
        <row r="154">
          <cell r="A154" t="str">
            <v>Bulon: M22 x 400</v>
          </cell>
          <cell r="B154" t="str">
            <v>boä</v>
          </cell>
          <cell r="C154">
            <v>13700</v>
          </cell>
        </row>
        <row r="155">
          <cell r="A155" t="str">
            <v>Bulon: M22 x 450</v>
          </cell>
          <cell r="B155" t="str">
            <v>boä</v>
          </cell>
          <cell r="C155">
            <v>15300</v>
          </cell>
        </row>
        <row r="156">
          <cell r="A156" t="str">
            <v>Bulon: M22 x 500</v>
          </cell>
          <cell r="B156" t="str">
            <v>boä</v>
          </cell>
          <cell r="C156">
            <v>17300</v>
          </cell>
        </row>
        <row r="157">
          <cell r="A157" t="str">
            <v>Bulon: M22 x 600</v>
          </cell>
          <cell r="B157" t="str">
            <v>boä</v>
          </cell>
          <cell r="C157">
            <v>23524</v>
          </cell>
        </row>
        <row r="158">
          <cell r="A158" t="str">
            <v>Bulon: M22 x 650</v>
          </cell>
          <cell r="B158" t="str">
            <v>boä</v>
          </cell>
          <cell r="C158">
            <v>24857</v>
          </cell>
        </row>
        <row r="159">
          <cell r="A159" t="str">
            <v>Bulon: M22 x 700</v>
          </cell>
          <cell r="B159" t="str">
            <v>boä</v>
          </cell>
          <cell r="C159">
            <v>26286</v>
          </cell>
        </row>
        <row r="160">
          <cell r="A160" t="str">
            <v>Bulon: M22 x 800</v>
          </cell>
          <cell r="B160" t="str">
            <v>boä</v>
          </cell>
          <cell r="C160">
            <v>29143</v>
          </cell>
        </row>
        <row r="161">
          <cell r="A161" t="str">
            <v>Phuï kieän</v>
          </cell>
        </row>
        <row r="162">
          <cell r="A162" t="str">
            <v>Thanh choáng F 60/50 daøi 1500</v>
          </cell>
          <cell r="B162" t="str">
            <v>Caùi</v>
          </cell>
          <cell r="C162">
            <v>37000</v>
          </cell>
        </row>
        <row r="163">
          <cell r="A163" t="str">
            <v>Long ñeàn vuoâng F18</v>
          </cell>
          <cell r="B163" t="str">
            <v>Caùi</v>
          </cell>
          <cell r="C163">
            <v>1800</v>
          </cell>
        </row>
        <row r="164">
          <cell r="A164" t="str">
            <v>Coïc neo - 2,4m</v>
          </cell>
          <cell r="B164" t="str">
            <v>Caùi</v>
          </cell>
          <cell r="C164">
            <v>37500</v>
          </cell>
        </row>
        <row r="165">
          <cell r="A165" t="str">
            <v>Keïp Splitbolt</v>
          </cell>
          <cell r="B165" t="str">
            <v>Caùi</v>
          </cell>
          <cell r="C165">
            <v>8000</v>
          </cell>
        </row>
        <row r="166">
          <cell r="A166" t="str">
            <v>Keïp 3 bulon</v>
          </cell>
          <cell r="B166" t="str">
            <v>Caùi</v>
          </cell>
          <cell r="C166">
            <v>9000</v>
          </cell>
        </row>
        <row r="167">
          <cell r="A167" t="str">
            <v>Keïp coïc noái ñaát</v>
          </cell>
          <cell r="B167" t="str">
            <v>Caùi</v>
          </cell>
          <cell r="C167">
            <v>3000</v>
          </cell>
        </row>
        <row r="168">
          <cell r="A168" t="str">
            <v>OÁng noái daây 35</v>
          </cell>
          <cell r="B168" t="str">
            <v>oáng</v>
          </cell>
          <cell r="C168">
            <v>19800</v>
          </cell>
        </row>
        <row r="169">
          <cell r="A169" t="str">
            <v>OÁng noái daây 50</v>
          </cell>
          <cell r="B169" t="str">
            <v>oáng</v>
          </cell>
          <cell r="C169">
            <v>19800</v>
          </cell>
        </row>
        <row r="170">
          <cell r="A170" t="str">
            <v>OÁng noái daây 70</v>
          </cell>
          <cell r="B170" t="str">
            <v>oáng</v>
          </cell>
          <cell r="C170">
            <v>22500</v>
          </cell>
        </row>
        <row r="171">
          <cell r="A171" t="str">
            <v>OÁng noái daây 95</v>
          </cell>
          <cell r="B171" t="str">
            <v>oáng</v>
          </cell>
          <cell r="C171">
            <v>28000</v>
          </cell>
        </row>
        <row r="172">
          <cell r="A172" t="str">
            <v>OÁng noái daây 120</v>
          </cell>
          <cell r="B172" t="str">
            <v>oáng</v>
          </cell>
          <cell r="C172">
            <v>39200</v>
          </cell>
        </row>
        <row r="173">
          <cell r="A173" t="str">
            <v>OÁng noái daây 150</v>
          </cell>
          <cell r="B173" t="str">
            <v>oáng</v>
          </cell>
          <cell r="C173">
            <v>60000</v>
          </cell>
        </row>
        <row r="174">
          <cell r="A174" t="str">
            <v>OÁng noái daây 185</v>
          </cell>
          <cell r="B174" t="str">
            <v>oáng</v>
          </cell>
          <cell r="C174">
            <v>66600</v>
          </cell>
        </row>
        <row r="175">
          <cell r="A175" t="str">
            <v>OÁng noái daây 240</v>
          </cell>
          <cell r="B175" t="str">
            <v>oáng</v>
          </cell>
          <cell r="C175">
            <v>78400</v>
          </cell>
        </row>
        <row r="176">
          <cell r="A176" t="str">
            <v>OÁng eùp daây 240mm2</v>
          </cell>
          <cell r="B176" t="str">
            <v>oáng</v>
          </cell>
          <cell r="C176">
            <v>95000</v>
          </cell>
        </row>
        <row r="177">
          <cell r="A177" t="str">
            <v>Vong treo ñaàu troøn VT-7</v>
          </cell>
          <cell r="B177" t="str">
            <v>boä</v>
          </cell>
          <cell r="C177">
            <v>4773</v>
          </cell>
          <cell r="F177" t="str">
            <v>VT7</v>
          </cell>
        </row>
        <row r="178">
          <cell r="A178" t="str">
            <v>Vong treo ñaàu troøn VT-10</v>
          </cell>
          <cell r="B178" t="str">
            <v>boä</v>
          </cell>
          <cell r="C178">
            <v>5728</v>
          </cell>
          <cell r="F178" t="str">
            <v>VT10</v>
          </cell>
        </row>
        <row r="179">
          <cell r="A179" t="str">
            <v>Vong treo ñaàu troøn VT-12</v>
          </cell>
          <cell r="B179" t="str">
            <v>boä</v>
          </cell>
          <cell r="C179">
            <v>8591</v>
          </cell>
          <cell r="F179" t="str">
            <v>VT12</v>
          </cell>
        </row>
        <row r="180">
          <cell r="A180" t="str">
            <v>Maét noái ñôn MN 1-7</v>
          </cell>
          <cell r="B180" t="str">
            <v>boä</v>
          </cell>
          <cell r="C180">
            <v>39900</v>
          </cell>
          <cell r="F180" t="str">
            <v>MN 1-7</v>
          </cell>
        </row>
        <row r="181">
          <cell r="A181" t="str">
            <v>Maét noái ñôn MN 1-10</v>
          </cell>
          <cell r="B181" t="str">
            <v>Caùi</v>
          </cell>
          <cell r="F181" t="str">
            <v>MN 1-10</v>
          </cell>
        </row>
        <row r="182">
          <cell r="A182" t="str">
            <v>Maét noái ñôn MN 1-12</v>
          </cell>
          <cell r="B182" t="str">
            <v>Caùi</v>
          </cell>
          <cell r="F182" t="str">
            <v>MN 1-12</v>
          </cell>
        </row>
        <row r="183">
          <cell r="A183" t="str">
            <v>Maét noái keùp MN 2-7</v>
          </cell>
          <cell r="B183" t="str">
            <v>Caùi</v>
          </cell>
          <cell r="F183" t="str">
            <v>MN 2-7</v>
          </cell>
        </row>
        <row r="184">
          <cell r="A184" t="str">
            <v>Maét noái keùp MN 2-10</v>
          </cell>
          <cell r="B184" t="str">
            <v>Caùi</v>
          </cell>
          <cell r="F184" t="str">
            <v>MN 2-10</v>
          </cell>
        </row>
        <row r="185">
          <cell r="A185" t="str">
            <v>Maét noái keùp MN 2-12</v>
          </cell>
          <cell r="B185" t="str">
            <v>Caùi</v>
          </cell>
          <cell r="F185" t="str">
            <v>MN 2-12</v>
          </cell>
        </row>
        <row r="186">
          <cell r="A186" t="str">
            <v>Maét noái trung gian NG-7</v>
          </cell>
          <cell r="B186" t="str">
            <v>Caùi</v>
          </cell>
          <cell r="C186">
            <v>6300</v>
          </cell>
        </row>
        <row r="187">
          <cell r="A187" t="str">
            <v>Maét noái trung gian NG-10</v>
          </cell>
          <cell r="B187" t="str">
            <v>Caùi</v>
          </cell>
          <cell r="C187">
            <v>7753</v>
          </cell>
        </row>
        <row r="188">
          <cell r="A188" t="str">
            <v>Maét noái trung gian NG-12</v>
          </cell>
          <cell r="B188" t="str">
            <v>Caùi</v>
          </cell>
          <cell r="C188">
            <v>10309</v>
          </cell>
        </row>
        <row r="189">
          <cell r="A189" t="str">
            <v>Maét noái trung gian 3 chaân NG3-7</v>
          </cell>
          <cell r="B189" t="str">
            <v>Caùi</v>
          </cell>
          <cell r="C189">
            <v>7753</v>
          </cell>
        </row>
        <row r="190">
          <cell r="A190" t="str">
            <v>Maét noái trung gian 3 chaân NG3-10</v>
          </cell>
          <cell r="B190" t="str">
            <v>Caùi</v>
          </cell>
          <cell r="C190">
            <v>11646</v>
          </cell>
        </row>
        <row r="191">
          <cell r="A191" t="str">
            <v>Maét noái trung gian 3 chaân NG3-12</v>
          </cell>
          <cell r="B191" t="str">
            <v>Caùi</v>
          </cell>
          <cell r="C191">
            <v>15082</v>
          </cell>
        </row>
        <row r="192">
          <cell r="A192" t="str">
            <v>Khoaù ñôõ daây D -357</v>
          </cell>
          <cell r="B192" t="str">
            <v>Caùi</v>
          </cell>
          <cell r="C192">
            <v>22762</v>
          </cell>
          <cell r="F192" t="str">
            <v>D -357</v>
          </cell>
        </row>
        <row r="193">
          <cell r="A193" t="str">
            <v>Khoaù ñôõ daây D -912</v>
          </cell>
          <cell r="B193" t="str">
            <v>Caùi</v>
          </cell>
          <cell r="C193">
            <v>24657</v>
          </cell>
          <cell r="F193" t="str">
            <v>D -912</v>
          </cell>
        </row>
        <row r="194">
          <cell r="A194" t="str">
            <v>Khoaù ñôõ daây D -159</v>
          </cell>
          <cell r="B194" t="str">
            <v>Caùi</v>
          </cell>
          <cell r="C194">
            <v>38000</v>
          </cell>
          <cell r="F194" t="str">
            <v>D -159</v>
          </cell>
        </row>
        <row r="195">
          <cell r="A195" t="str">
            <v>Khoaù neùo daây D -357</v>
          </cell>
          <cell r="B195" t="str">
            <v>Caùi</v>
          </cell>
          <cell r="C195">
            <v>27700</v>
          </cell>
          <cell r="F195" t="str">
            <v xml:space="preserve">N -357 </v>
          </cell>
        </row>
        <row r="196">
          <cell r="A196" t="str">
            <v>Khoaù neùo daây D -912</v>
          </cell>
          <cell r="B196" t="str">
            <v>Caùi</v>
          </cell>
          <cell r="C196">
            <v>41900</v>
          </cell>
          <cell r="F196" t="str">
            <v>N -912</v>
          </cell>
        </row>
        <row r="197">
          <cell r="A197" t="str">
            <v>Khoaù neùo daây D -159</v>
          </cell>
          <cell r="B197" t="str">
            <v>Caùi</v>
          </cell>
          <cell r="C197">
            <v>54887</v>
          </cell>
          <cell r="F197" t="str">
            <v>N -158</v>
          </cell>
        </row>
        <row r="198">
          <cell r="A198" t="str">
            <v>Moùc treo chöõ U(ma ní) MT-7</v>
          </cell>
          <cell r="B198" t="str">
            <v>Caùi</v>
          </cell>
          <cell r="C198">
            <v>7063</v>
          </cell>
          <cell r="F198" t="str">
            <v>MT -7</v>
          </cell>
        </row>
        <row r="199">
          <cell r="A199" t="str">
            <v>Moùc treo chöõ U(ma ní) MT-10</v>
          </cell>
          <cell r="B199" t="str">
            <v>Caùi</v>
          </cell>
          <cell r="C199">
            <v>8113</v>
          </cell>
          <cell r="F199" t="str">
            <v>MT -10</v>
          </cell>
        </row>
        <row r="200">
          <cell r="A200" t="str">
            <v>Moùc treo chöõ U(ma ní) MT-12</v>
          </cell>
          <cell r="B200" t="str">
            <v>Caùi</v>
          </cell>
          <cell r="C200">
            <v>12601</v>
          </cell>
          <cell r="F200" t="str">
            <v>MT -12</v>
          </cell>
        </row>
        <row r="201">
          <cell r="A201" t="str">
            <v xml:space="preserve">Keïp noái eùp </v>
          </cell>
          <cell r="B201" t="str">
            <v>Caùi</v>
          </cell>
          <cell r="C201">
            <v>6300</v>
          </cell>
        </row>
        <row r="202">
          <cell r="A202" t="str">
            <v>Keïp quai 2/0</v>
          </cell>
          <cell r="B202" t="str">
            <v>Caùi</v>
          </cell>
          <cell r="C202">
            <v>12180</v>
          </cell>
        </row>
        <row r="203">
          <cell r="A203" t="str">
            <v>Keïp Hotline 2/0</v>
          </cell>
          <cell r="B203" t="str">
            <v>Caùi</v>
          </cell>
          <cell r="C203">
            <v>12915</v>
          </cell>
        </row>
        <row r="204">
          <cell r="A204" t="str">
            <v>Split bolt Cu-AL 2/0AWG</v>
          </cell>
          <cell r="B204" t="str">
            <v>Caùi</v>
          </cell>
          <cell r="C204">
            <v>6615</v>
          </cell>
        </row>
        <row r="205">
          <cell r="A205" t="str">
            <v>Baêng keo caùch ñieän</v>
          </cell>
          <cell r="B205" t="str">
            <v>cuoän</v>
          </cell>
          <cell r="C205">
            <v>5000</v>
          </cell>
        </row>
        <row r="206">
          <cell r="A206" t="str">
            <v>Khoùa neùo daây N357</v>
          </cell>
          <cell r="B206" t="str">
            <v>Caùi</v>
          </cell>
          <cell r="C206">
            <v>27700</v>
          </cell>
        </row>
        <row r="207">
          <cell r="A207" t="str">
            <v>Khoùa neùo daây N912</v>
          </cell>
          <cell r="B207" t="str">
            <v>Caùi</v>
          </cell>
          <cell r="C207">
            <v>41900</v>
          </cell>
        </row>
        <row r="208">
          <cell r="A208" t="str">
            <v>Khoùa neùo daây N158</v>
          </cell>
          <cell r="B208" t="str">
            <v>Caùi</v>
          </cell>
          <cell r="C208">
            <v>54887</v>
          </cell>
        </row>
        <row r="209">
          <cell r="A209" t="str">
            <v>Khoùa neùo daây N357</v>
          </cell>
          <cell r="B209" t="str">
            <v>Caùi</v>
          </cell>
          <cell r="C209">
            <v>22813</v>
          </cell>
        </row>
        <row r="210">
          <cell r="A210" t="str">
            <v>Khoùa neùo daây N912</v>
          </cell>
          <cell r="B210" t="str">
            <v>Caùi</v>
          </cell>
          <cell r="C210">
            <v>24251</v>
          </cell>
        </row>
        <row r="211">
          <cell r="A211" t="str">
            <v>Caùp neo 3/8"</v>
          </cell>
          <cell r="B211" t="str">
            <v>m</v>
          </cell>
          <cell r="C211">
            <v>3810</v>
          </cell>
        </row>
        <row r="212">
          <cell r="A212" t="str">
            <v>Yeám caùp</v>
          </cell>
          <cell r="B212" t="str">
            <v>Caùi</v>
          </cell>
          <cell r="C212">
            <v>3150</v>
          </cell>
        </row>
        <row r="213">
          <cell r="A213" t="str">
            <v>Ty neo D22x3,7m</v>
          </cell>
          <cell r="B213" t="str">
            <v>Caùi</v>
          </cell>
          <cell r="C213">
            <v>118125</v>
          </cell>
        </row>
        <row r="214">
          <cell r="A214" t="str">
            <v>Baûng soá vaø bieån baùo</v>
          </cell>
          <cell r="B214" t="str">
            <v>Caùi</v>
          </cell>
          <cell r="C214">
            <v>10500</v>
          </cell>
        </row>
        <row r="215">
          <cell r="A215" t="str">
            <v>Coïc tieáp ñòa M16 x 2400</v>
          </cell>
          <cell r="B215" t="str">
            <v>caùi</v>
          </cell>
          <cell r="C215">
            <v>28952</v>
          </cell>
        </row>
        <row r="216">
          <cell r="A216" t="str">
            <v xml:space="preserve">Daây tieáp ñòa ñoàng traàn 25 mm2  </v>
          </cell>
          <cell r="B216" t="str">
            <v>kg</v>
          </cell>
          <cell r="C216">
            <v>38500</v>
          </cell>
        </row>
        <row r="217">
          <cell r="A217" t="str">
            <v>Keïp Splitbolt hoaëc ñoàng nhoâm 2/0</v>
          </cell>
          <cell r="B217" t="str">
            <v>caùi</v>
          </cell>
          <cell r="C217">
            <v>6615</v>
          </cell>
        </row>
        <row r="218">
          <cell r="A218" t="str">
            <v>Keïp coïc noái ñaát</v>
          </cell>
          <cell r="B218" t="str">
            <v>caùi</v>
          </cell>
          <cell r="C218">
            <v>3000</v>
          </cell>
        </row>
        <row r="219">
          <cell r="A219" t="str">
            <v>Keïp nhoâm AC35</v>
          </cell>
          <cell r="B219" t="str">
            <v>Caùi</v>
          </cell>
          <cell r="C219">
            <v>3905</v>
          </cell>
        </row>
        <row r="220">
          <cell r="A220" t="str">
            <v>Keïp nhoâm AC50</v>
          </cell>
          <cell r="B220" t="str">
            <v>Caùi</v>
          </cell>
          <cell r="C220">
            <v>7429</v>
          </cell>
        </row>
        <row r="221">
          <cell r="A221" t="str">
            <v>Keïp nhoâm AC70</v>
          </cell>
          <cell r="B221" t="str">
            <v>Caùi</v>
          </cell>
          <cell r="C221">
            <v>7429</v>
          </cell>
        </row>
        <row r="222">
          <cell r="A222" t="str">
            <v>Keïp nhoâm AC95</v>
          </cell>
          <cell r="B222" t="str">
            <v>Caùi</v>
          </cell>
          <cell r="C222">
            <v>11400</v>
          </cell>
        </row>
        <row r="223">
          <cell r="A223" t="str">
            <v>Keïp nhoâm AC120</v>
          </cell>
          <cell r="B223" t="str">
            <v>Caùi</v>
          </cell>
          <cell r="C223">
            <v>16857</v>
          </cell>
        </row>
        <row r="224">
          <cell r="A224" t="str">
            <v>Keïp nhoâm AC150</v>
          </cell>
          <cell r="B224" t="str">
            <v>Caùi</v>
          </cell>
          <cell r="C224">
            <v>16857</v>
          </cell>
        </row>
        <row r="225">
          <cell r="A225" t="str">
            <v>Keïp nhoâm AC185</v>
          </cell>
          <cell r="B225" t="str">
            <v>Caùi</v>
          </cell>
          <cell r="C225">
            <v>31429</v>
          </cell>
        </row>
        <row r="226">
          <cell r="A226" t="str">
            <v>Keïp nhoâm AC240</v>
          </cell>
          <cell r="B226" t="str">
            <v>Caùi</v>
          </cell>
          <cell r="C226">
            <v>31429</v>
          </cell>
        </row>
      </sheetData>
      <sheetData sheetId="1" refreshError="1">
        <row r="4">
          <cell r="A4" t="str">
            <v>03.1112</v>
          </cell>
          <cell r="B4" t="str">
            <v>Ñaøo ñaát hoá theá saâu &gt;1m S ñaùy hoá £ 5 m 2  ñaát C2</v>
          </cell>
          <cell r="C4" t="str">
            <v>m 3</v>
          </cell>
          <cell r="E4">
            <v>16776</v>
          </cell>
        </row>
        <row r="5">
          <cell r="A5" t="str">
            <v>03.1113</v>
          </cell>
          <cell r="B5" t="str">
            <v>Ñaøo ñaát hoá theá saâu &gt;1m S ñaùy hoá £ 5 m 2  ñaát C3</v>
          </cell>
          <cell r="C5" t="str">
            <v>m 3</v>
          </cell>
          <cell r="E5">
            <v>24428</v>
          </cell>
        </row>
        <row r="6">
          <cell r="A6" t="str">
            <v>03.2203</v>
          </cell>
          <cell r="B6" t="str">
            <v>Laáp ñaát hoá theá</v>
          </cell>
          <cell r="C6" t="str">
            <v>m 3</v>
          </cell>
          <cell r="E6">
            <v>10890</v>
          </cell>
        </row>
        <row r="7">
          <cell r="A7" t="str">
            <v>03.1122</v>
          </cell>
          <cell r="B7" t="str">
            <v>Ñaøo moùng baèng TC ñaát C2  saâu £ 2 m dieän tích ñaùy moùng £ 15 m2</v>
          </cell>
          <cell r="C7" t="str">
            <v>m 3</v>
          </cell>
          <cell r="E7">
            <v>11037</v>
          </cell>
        </row>
        <row r="8">
          <cell r="A8" t="str">
            <v>03.1123</v>
          </cell>
          <cell r="B8" t="str">
            <v>Ñaøo moùng baèng TC ñaát C3  saâu £ 2 m dieän tích ñaùy moùng £ 15 m2</v>
          </cell>
          <cell r="C8" t="str">
            <v>m 3</v>
          </cell>
          <cell r="E8">
            <v>16482</v>
          </cell>
        </row>
        <row r="9">
          <cell r="A9" t="str">
            <v>03.1132</v>
          </cell>
          <cell r="B9" t="str">
            <v>Ñaøo moùng baèng TC ñaát C2  saâu £ 3 m dieän tích ñaùy moùng £ 15 m2</v>
          </cell>
          <cell r="C9" t="str">
            <v>m 3</v>
          </cell>
          <cell r="E9">
            <v>11773</v>
          </cell>
        </row>
        <row r="10">
          <cell r="A10" t="str">
            <v>03.1133</v>
          </cell>
          <cell r="B10" t="str">
            <v>Ñaøo moùng baèng TC ñaát C3  saâu £ 3 m dieän tích ñaùy moùng £ 15 m2</v>
          </cell>
          <cell r="C10" t="str">
            <v>m 3</v>
          </cell>
          <cell r="E10">
            <v>17659</v>
          </cell>
        </row>
        <row r="11">
          <cell r="A11" t="str">
            <v>03.1152</v>
          </cell>
          <cell r="B11" t="str">
            <v>Ñaøo moùng baèng TC ñaát C2  saâu £ 2 m dieän tích ñaùy moùng £ 25 m2</v>
          </cell>
          <cell r="C11" t="str">
            <v>m 3</v>
          </cell>
          <cell r="E11">
            <v>11478</v>
          </cell>
        </row>
        <row r="12">
          <cell r="A12" t="str">
            <v>03.1153</v>
          </cell>
          <cell r="B12" t="str">
            <v>Ñaøo moùng baèng TC ñaát C3  saâu £ 2 m dieän tích ñaùy moùng £ 25 m2</v>
          </cell>
          <cell r="C12" t="str">
            <v>m 3</v>
          </cell>
          <cell r="E12">
            <v>17365</v>
          </cell>
        </row>
        <row r="13">
          <cell r="A13" t="str">
            <v>03.1162</v>
          </cell>
          <cell r="B13" t="str">
            <v>Ñaøo moùng baèng TC ñaát C2  saâu £ 3 m dieän tích ñaùy moùng £ 25 m2</v>
          </cell>
          <cell r="C13" t="str">
            <v>m 3</v>
          </cell>
          <cell r="E13">
            <v>12508</v>
          </cell>
        </row>
        <row r="14">
          <cell r="A14" t="str">
            <v>03.1163</v>
          </cell>
          <cell r="B14" t="str">
            <v>Ñaøo moùng baèng TC ñaát C3  saâu £ 3 m dieän tích ñaùy moùng £ 25 m2</v>
          </cell>
          <cell r="C14" t="str">
            <v>m 3</v>
          </cell>
          <cell r="E14">
            <v>18395</v>
          </cell>
        </row>
        <row r="15">
          <cell r="A15" t="str">
            <v>03.1182</v>
          </cell>
          <cell r="B15" t="str">
            <v>Ñaøo moùng baèng TC ñaát C2  saâu £ 2 m dieän tích ñaùy moùng £ 35 m2</v>
          </cell>
          <cell r="C15" t="str">
            <v>m 3</v>
          </cell>
          <cell r="E15">
            <v>12214</v>
          </cell>
        </row>
        <row r="16">
          <cell r="A16" t="str">
            <v>03.1183</v>
          </cell>
          <cell r="B16" t="str">
            <v>Ñaøo moùng baèng TC ñaát C3  saâu £ 2 m dieän tích ñaùy moùng £ 35 m2</v>
          </cell>
          <cell r="C16" t="str">
            <v>m 3</v>
          </cell>
          <cell r="E16">
            <v>18100</v>
          </cell>
        </row>
        <row r="17">
          <cell r="A17" t="str">
            <v>03.1192</v>
          </cell>
          <cell r="B17" t="str">
            <v>Ñaøo moùng baèng TC ñaát C2  saâu £ 3 m dieän tích ñaùy moùng £ 35 m2</v>
          </cell>
          <cell r="C17" t="str">
            <v>m 3</v>
          </cell>
          <cell r="E17">
            <v>13097</v>
          </cell>
        </row>
        <row r="18">
          <cell r="A18" t="str">
            <v>03.1193</v>
          </cell>
          <cell r="B18" t="str">
            <v>Ñaøo moùng baèng TC ñaát C3  saâu £ 3 m dieän tích ñaùy moùng £ 35 m2</v>
          </cell>
          <cell r="C18" t="str">
            <v>m 3</v>
          </cell>
          <cell r="E18">
            <v>19425</v>
          </cell>
        </row>
        <row r="19">
          <cell r="A19" t="str">
            <v>03.1212</v>
          </cell>
          <cell r="B19" t="str">
            <v>Ñaøo moùng baèng TC ñaát C2  saâu £ 2 m dieän tích ñaùy moùng £ 50 m2</v>
          </cell>
          <cell r="C19" t="str">
            <v>m 3</v>
          </cell>
          <cell r="E19">
            <v>12803</v>
          </cell>
        </row>
        <row r="20">
          <cell r="A20" t="str">
            <v>03.1213</v>
          </cell>
          <cell r="B20" t="str">
            <v>Ñaøo moùng baèng TC ñaát C3  saâu £ 2 m dieän tích ñaùy moùng £ 50 m2</v>
          </cell>
          <cell r="C20" t="str">
            <v>m 3</v>
          </cell>
          <cell r="E20">
            <v>19130</v>
          </cell>
        </row>
        <row r="21">
          <cell r="A21" t="str">
            <v>03.1222</v>
          </cell>
          <cell r="B21" t="str">
            <v>Ñaøo moùng baèng TC ñaát C2  saâu £ 3 m dieän tích ñaùy moùng £ 50 m2</v>
          </cell>
          <cell r="C21" t="str">
            <v>m 3</v>
          </cell>
          <cell r="E21">
            <v>13833</v>
          </cell>
        </row>
        <row r="22">
          <cell r="A22" t="str">
            <v>03.1223</v>
          </cell>
          <cell r="B22" t="str">
            <v>Ñaøo moùng baèng TC ñaát C3  saâu £ 3 m dieän tích ñaùy moùng £ 50 m2</v>
          </cell>
          <cell r="C22" t="str">
            <v>m 3</v>
          </cell>
          <cell r="E22">
            <v>20455</v>
          </cell>
        </row>
        <row r="23">
          <cell r="A23" t="str">
            <v>03.1252</v>
          </cell>
          <cell r="B23" t="str">
            <v>Ñaøo moùng baèng TC ñaát C2  saâu £ 2 m dieän tích ñaùy moùng £ 75 m2</v>
          </cell>
          <cell r="C23" t="str">
            <v>m 3</v>
          </cell>
          <cell r="E23">
            <v>13097</v>
          </cell>
        </row>
        <row r="24">
          <cell r="A24" t="str">
            <v>03.1253</v>
          </cell>
          <cell r="B24" t="str">
            <v>Ñaøo moùng baèng TC ñaát C3  saâu £ 2 m dieän tích ñaùy moùng £ 75 m2</v>
          </cell>
          <cell r="C24" t="str">
            <v>m 3</v>
          </cell>
          <cell r="E24">
            <v>19572</v>
          </cell>
        </row>
        <row r="25">
          <cell r="A25" t="str">
            <v>03.1262</v>
          </cell>
          <cell r="B25" t="str">
            <v>Ñaøo moùng baèng TC ñaát C2  saâu £ 3 m dieän tích ñaùy moùng £ 75 m2</v>
          </cell>
          <cell r="C25" t="str">
            <v>m 3</v>
          </cell>
          <cell r="E25">
            <v>14127</v>
          </cell>
        </row>
        <row r="26">
          <cell r="A26" t="str">
            <v>03.1263</v>
          </cell>
          <cell r="B26" t="str">
            <v>Ñaøo moùng baèng TC ñaát C3  saâu £ 3 m dieän tích ñaùy moùng £ 75 m2</v>
          </cell>
          <cell r="C26" t="str">
            <v>m 3</v>
          </cell>
          <cell r="E26">
            <v>21043</v>
          </cell>
        </row>
        <row r="27">
          <cell r="A27" t="str">
            <v>03.1292</v>
          </cell>
          <cell r="B27" t="str">
            <v>Ñaøo moùng baèng TC ñaát C2  saâu £ 2 m dieän tích ñaùy moùng £ 100 m2</v>
          </cell>
          <cell r="C27" t="str">
            <v>m 3</v>
          </cell>
          <cell r="E27">
            <v>13391</v>
          </cell>
        </row>
        <row r="28">
          <cell r="A28" t="str">
            <v>03.1293</v>
          </cell>
          <cell r="B28" t="str">
            <v>Ñaøo moùng baèng TC ñaát C3  saâu £ 2 m dieän tích ñaùy moùng £ 100 m2</v>
          </cell>
          <cell r="C28" t="str">
            <v>m 3</v>
          </cell>
          <cell r="E28">
            <v>20308</v>
          </cell>
        </row>
        <row r="29">
          <cell r="A29" t="str">
            <v>03.1302</v>
          </cell>
          <cell r="B29" t="str">
            <v>Ñaøo moùng baèng TC ñaát C2  saâu £ 3 m dieän tích ñaùy moùng £ 100 m2</v>
          </cell>
          <cell r="C29" t="str">
            <v>m 3</v>
          </cell>
          <cell r="E29">
            <v>14569</v>
          </cell>
        </row>
        <row r="30">
          <cell r="A30" t="str">
            <v>03.1303</v>
          </cell>
          <cell r="B30" t="str">
            <v>Ñaøo moùng baèng TC ñaát C3  saâu £ 3 m dieän tích ñaùy moùng £ 100 m2</v>
          </cell>
          <cell r="C30" t="str">
            <v>m 3</v>
          </cell>
          <cell r="E30">
            <v>21632</v>
          </cell>
        </row>
        <row r="31">
          <cell r="A31" t="str">
            <v>03.1332</v>
          </cell>
          <cell r="B31" t="str">
            <v>Ñaøo moùng baèng TC ñaát C2  saâu £ 2 m dieän tích ñaùy moùng £ 150 m2</v>
          </cell>
          <cell r="C31" t="str">
            <v>m 3</v>
          </cell>
          <cell r="E31">
            <v>14127</v>
          </cell>
        </row>
        <row r="32">
          <cell r="A32" t="str">
            <v>03.1333</v>
          </cell>
          <cell r="B32" t="str">
            <v>Ñaøo moùng baèng TC ñaát C3  saâu £ 2 m dieän tích ñaùy moùng £ 150 m2</v>
          </cell>
          <cell r="C32" t="str">
            <v>m 3</v>
          </cell>
          <cell r="E32">
            <v>21191</v>
          </cell>
        </row>
        <row r="33">
          <cell r="A33" t="str">
            <v>03.1342</v>
          </cell>
          <cell r="B33" t="str">
            <v>Ñaøo moùng baèng TC ñaát C2  saâu £ 3 m dieän tích ñaùy moùng £ 150 m2</v>
          </cell>
          <cell r="C33" t="str">
            <v>m 3</v>
          </cell>
          <cell r="E33">
            <v>15451</v>
          </cell>
        </row>
        <row r="34">
          <cell r="A34" t="str">
            <v>03.1343</v>
          </cell>
          <cell r="B34" t="str">
            <v>Ñaøo moùng baèng TC ñaát C3  saâu £ 3 m dieän tích ñaùy moùng £ 150 m2</v>
          </cell>
          <cell r="C34" t="str">
            <v>m 3</v>
          </cell>
          <cell r="E34">
            <v>22809</v>
          </cell>
        </row>
        <row r="35">
          <cell r="A35" t="str">
            <v>03.1352</v>
          </cell>
          <cell r="B35" t="str">
            <v>Ñaøo moùng baèng TC ñaát C2  saâu £ 4 m dieän tích ñaùy moùng £ 150 m2</v>
          </cell>
          <cell r="C35" t="str">
            <v>m 3</v>
          </cell>
          <cell r="E35">
            <v>16629</v>
          </cell>
        </row>
        <row r="36">
          <cell r="A36" t="str">
            <v>03.1353</v>
          </cell>
          <cell r="B36" t="str">
            <v>Ñaøo moùng baèng TC ñaát C3  saâu £ 4 m dieän tích ñaùy moùng £ 150 m2</v>
          </cell>
          <cell r="C36" t="str">
            <v>m 3</v>
          </cell>
          <cell r="E36">
            <v>24134</v>
          </cell>
        </row>
        <row r="37">
          <cell r="A37" t="str">
            <v>03.1372</v>
          </cell>
          <cell r="B37" t="str">
            <v>Ñaøo moùng baèng TC ñaát C2  saâu £ 2 m dieän tích ñaùy moùng £ 200 m2</v>
          </cell>
          <cell r="C37" t="str">
            <v>m 3</v>
          </cell>
          <cell r="E37">
            <v>14716</v>
          </cell>
        </row>
        <row r="38">
          <cell r="A38" t="str">
            <v>03.1373</v>
          </cell>
          <cell r="B38" t="str">
            <v>Ñaøo moùng baèng TC ñaát C3  saâu £ 2 m dieän tích ñaùy moùng £ 200 m2</v>
          </cell>
          <cell r="C38" t="str">
            <v>m 3</v>
          </cell>
          <cell r="E38">
            <v>22074</v>
          </cell>
        </row>
        <row r="39">
          <cell r="A39" t="str">
            <v>03.1382</v>
          </cell>
          <cell r="B39" t="str">
            <v>Ñaøo moùng baèng TC ñaát C2  saâu £ 3 m dieän tích ñaùy moùng £ 200 m2</v>
          </cell>
          <cell r="C39" t="str">
            <v>m 3</v>
          </cell>
          <cell r="E39">
            <v>16334</v>
          </cell>
        </row>
        <row r="40">
          <cell r="A40" t="str">
            <v>03.1383</v>
          </cell>
          <cell r="B40" t="str">
            <v>Ñaøo moùng baèng TC ñaát C3  saâu £ 3 m dieän tích ñaùy moùng £ 200 m2</v>
          </cell>
          <cell r="C40" t="str">
            <v>m 3</v>
          </cell>
          <cell r="E40">
            <v>23987</v>
          </cell>
        </row>
        <row r="41">
          <cell r="A41" t="str">
            <v>03.1392</v>
          </cell>
          <cell r="B41" t="str">
            <v>Ñaøo moùng baèng TC ñaát C2  saâu £ 3 m dieän tích ñaùy moùng £ 200 m2</v>
          </cell>
          <cell r="C41" t="str">
            <v>m 3</v>
          </cell>
          <cell r="E41">
            <v>17512</v>
          </cell>
        </row>
        <row r="42">
          <cell r="A42" t="str">
            <v>03.1393</v>
          </cell>
          <cell r="B42" t="str">
            <v>Ñaøo moùng baèng TC ñaát C3  saâu £ 3 m dieän tích ñaùy moùng £ 200 m2</v>
          </cell>
          <cell r="C42" t="str">
            <v>m 3</v>
          </cell>
          <cell r="E42">
            <v>25311</v>
          </cell>
        </row>
        <row r="43">
          <cell r="A43" t="str">
            <v>03.1422</v>
          </cell>
          <cell r="B43" t="str">
            <v>Ñaøo moùng baèng TC ñaát C2  saâu £ 2 m dieän tích ñaùy moùng &gt; 200 m2</v>
          </cell>
          <cell r="C43" t="str">
            <v>m 3</v>
          </cell>
          <cell r="E43">
            <v>16187</v>
          </cell>
        </row>
        <row r="44">
          <cell r="A44" t="str">
            <v>03.1423</v>
          </cell>
          <cell r="B44" t="str">
            <v>Ñaøo moùng baèng TC ñaát C3  saâu £ 2 m dieän tích ñaùy moùng &gt; 200 m2</v>
          </cell>
          <cell r="C44" t="str">
            <v>m 3</v>
          </cell>
          <cell r="E44">
            <v>24281</v>
          </cell>
        </row>
        <row r="45">
          <cell r="A45" t="str">
            <v>03.1432</v>
          </cell>
          <cell r="B45" t="str">
            <v>Ñaøo moùng baèng TC ñaát C2  saâu £ 3 m dieän tích ñaùy moùng &gt; 200 m2</v>
          </cell>
          <cell r="C45" t="str">
            <v>m 3</v>
          </cell>
          <cell r="E45">
            <v>17217</v>
          </cell>
        </row>
        <row r="46">
          <cell r="A46" t="str">
            <v>03.1433</v>
          </cell>
          <cell r="B46" t="str">
            <v>Ñaøo moùng baèng TC ñaát C3  saâu £ 3 m dieän tích ñaùy moùng &gt; 200 m2</v>
          </cell>
          <cell r="C46" t="str">
            <v>m 3</v>
          </cell>
          <cell r="E46">
            <v>25458</v>
          </cell>
        </row>
        <row r="47">
          <cell r="A47" t="str">
            <v>03.1442</v>
          </cell>
          <cell r="B47" t="str">
            <v>Ñaøo moùng baèng TC ñaát C2  saâu £ 3 m dieän tích ñaùy moùng &gt; 200 m2</v>
          </cell>
          <cell r="C47" t="str">
            <v>m 3</v>
          </cell>
          <cell r="E47">
            <v>18836</v>
          </cell>
        </row>
        <row r="48">
          <cell r="A48" t="str">
            <v>03.1443</v>
          </cell>
          <cell r="B48" t="str">
            <v>Ñaøo moùng baèng TC ñaát C3  saâu £ 3 m dieän tích ñaùy moùng &gt; 200 m2</v>
          </cell>
          <cell r="C48" t="str">
            <v>m 3</v>
          </cell>
          <cell r="E48">
            <v>27960</v>
          </cell>
        </row>
        <row r="49">
          <cell r="A49" t="str">
            <v>03.2202</v>
          </cell>
          <cell r="B49" t="str">
            <v>Laáp hoá moùng + chaân truï C2</v>
          </cell>
          <cell r="C49" t="str">
            <v>m 3</v>
          </cell>
          <cell r="E49">
            <v>9712</v>
          </cell>
        </row>
        <row r="50">
          <cell r="A50" t="str">
            <v>03.2203</v>
          </cell>
          <cell r="B50" t="str">
            <v>Laáp hoá moùng + chaân truï C3</v>
          </cell>
          <cell r="C50" t="str">
            <v>m 3</v>
          </cell>
          <cell r="E50">
            <v>10890</v>
          </cell>
        </row>
        <row r="51">
          <cell r="A51" t="str">
            <v>03.3102</v>
          </cell>
          <cell r="B51" t="str">
            <v>Ñaøo ñaát raõnh tieáp ñòa ñaát C2</v>
          </cell>
          <cell r="C51" t="str">
            <v>m 3</v>
          </cell>
          <cell r="E51">
            <v>14716</v>
          </cell>
        </row>
        <row r="52">
          <cell r="A52" t="str">
            <v>03.3103</v>
          </cell>
          <cell r="B52" t="str">
            <v>Ñaøo ñaát raõnh tieáp ñòa ñaát C3</v>
          </cell>
          <cell r="C52" t="str">
            <v>m 3</v>
          </cell>
          <cell r="E52">
            <v>21926</v>
          </cell>
        </row>
        <row r="53">
          <cell r="A53" t="str">
            <v>03.3202</v>
          </cell>
          <cell r="B53" t="str">
            <v>Laáp ñaát raõnh tieáp ñòa ñaát C2</v>
          </cell>
          <cell r="C53" t="str">
            <v>m 3</v>
          </cell>
          <cell r="E53">
            <v>8682</v>
          </cell>
        </row>
        <row r="54">
          <cell r="A54" t="str">
            <v>03.3203</v>
          </cell>
          <cell r="B54" t="str">
            <v>Laáp ñaát raõnh tieáp ñòa ñaát C3</v>
          </cell>
          <cell r="C54" t="str">
            <v>m 3</v>
          </cell>
          <cell r="E54">
            <v>10007</v>
          </cell>
        </row>
        <row r="55">
          <cell r="A55" t="str">
            <v>03.4001</v>
          </cell>
          <cell r="B55" t="str">
            <v>Ñaép bôø bao ñoä saâu buøn nöôùc £ 30cm</v>
          </cell>
          <cell r="C55" t="str">
            <v>m</v>
          </cell>
          <cell r="E55">
            <v>5592</v>
          </cell>
        </row>
        <row r="56">
          <cell r="A56" t="str">
            <v>03.4002</v>
          </cell>
          <cell r="B56" t="str">
            <v>Ñaép bôø bao ñoä saâu buøn nöôùc £ 50cm</v>
          </cell>
          <cell r="C56" t="str">
            <v>m</v>
          </cell>
          <cell r="D56">
            <v>24000</v>
          </cell>
          <cell r="E56">
            <v>8241</v>
          </cell>
        </row>
        <row r="57">
          <cell r="A57" t="str">
            <v>03.4003</v>
          </cell>
          <cell r="B57" t="str">
            <v>Ñaép bôø bao ñoä saâu buøn nöôùc £ 80cm</v>
          </cell>
          <cell r="C57" t="str">
            <v>m</v>
          </cell>
          <cell r="D57">
            <v>37500</v>
          </cell>
          <cell r="E57">
            <v>12655</v>
          </cell>
        </row>
        <row r="58">
          <cell r="A58" t="str">
            <v>03.4004</v>
          </cell>
          <cell r="B58" t="str">
            <v>Ñaép bôø bao ñoä saâu buøn nöôùc £ 100cm</v>
          </cell>
          <cell r="C58" t="str">
            <v>m</v>
          </cell>
          <cell r="D58">
            <v>45000</v>
          </cell>
          <cell r="E58">
            <v>16187</v>
          </cell>
        </row>
        <row r="59">
          <cell r="A59" t="str">
            <v>03.5100</v>
          </cell>
          <cell r="B59" t="str">
            <v xml:space="preserve">Bôm taùt nöôùc baèng thuû coâng </v>
          </cell>
          <cell r="C59" t="str">
            <v>m 3</v>
          </cell>
          <cell r="E59">
            <v>5827</v>
          </cell>
        </row>
        <row r="60">
          <cell r="A60" t="str">
            <v>03.5200</v>
          </cell>
          <cell r="B60" t="str">
            <v>Bôm taùt nöôùc baèng maùy</v>
          </cell>
          <cell r="C60" t="str">
            <v>m 3</v>
          </cell>
          <cell r="F60">
            <v>2567</v>
          </cell>
        </row>
        <row r="61">
          <cell r="A61" t="str">
            <v>03.7001</v>
          </cell>
          <cell r="B61" t="str">
            <v>Ñaép caùt coâng trình</v>
          </cell>
          <cell r="C61" t="str">
            <v>m 3</v>
          </cell>
          <cell r="D61">
            <v>24423</v>
          </cell>
          <cell r="E61">
            <v>9124</v>
          </cell>
        </row>
        <row r="62">
          <cell r="A62" t="str">
            <v>04.1101</v>
          </cell>
          <cell r="B62" t="str">
            <v>SX laép döïng coát theùp £ F10</v>
          </cell>
          <cell r="C62" t="str">
            <v>kg</v>
          </cell>
          <cell r="D62">
            <v>4267.6769999999997</v>
          </cell>
          <cell r="E62">
            <v>201.59299999999999</v>
          </cell>
          <cell r="F62">
            <v>16.917999999999999</v>
          </cell>
        </row>
        <row r="63">
          <cell r="A63" t="str">
            <v>04.1102</v>
          </cell>
          <cell r="B63" t="str">
            <v>SX laép döïng coát theùp £ F18</v>
          </cell>
          <cell r="C63" t="str">
            <v>kg</v>
          </cell>
          <cell r="D63">
            <v>4314.6459999999997</v>
          </cell>
          <cell r="E63">
            <v>148.48500000000001</v>
          </cell>
          <cell r="F63">
            <v>187.36099999999999</v>
          </cell>
        </row>
        <row r="64">
          <cell r="A64" t="str">
            <v>04.1103</v>
          </cell>
          <cell r="B64" t="str">
            <v>SX laép döïng coát theùp &gt; F18</v>
          </cell>
          <cell r="C64" t="str">
            <v>kg</v>
          </cell>
          <cell r="D64">
            <v>4320.3580000000002</v>
          </cell>
          <cell r="E64">
            <v>113.02800000000001</v>
          </cell>
          <cell r="F64">
            <v>203.874</v>
          </cell>
        </row>
        <row r="65">
          <cell r="A65" t="str">
            <v>04.2002</v>
          </cell>
          <cell r="B65" t="str">
            <v>Vaùn khuoân</v>
          </cell>
          <cell r="C65" t="str">
            <v>m2</v>
          </cell>
          <cell r="D65">
            <v>26318.45</v>
          </cell>
          <cell r="E65">
            <v>5702.46</v>
          </cell>
          <cell r="F65">
            <v>12544</v>
          </cell>
        </row>
        <row r="66">
          <cell r="A66" t="str">
            <v>04.3101</v>
          </cell>
          <cell r="B66" t="str">
            <v>Beâ toâng loùt M#100 ñaù 4x6</v>
          </cell>
          <cell r="C66" t="str">
            <v>m 3</v>
          </cell>
          <cell r="D66">
            <v>315919</v>
          </cell>
          <cell r="E66">
            <v>39732</v>
          </cell>
        </row>
        <row r="67">
          <cell r="A67" t="str">
            <v>04.3102</v>
          </cell>
          <cell r="B67" t="str">
            <v>Beâ toâng loùt M#150 ñaù 4x6</v>
          </cell>
          <cell r="C67" t="str">
            <v>m 3</v>
          </cell>
          <cell r="D67">
            <v>367816</v>
          </cell>
          <cell r="E67">
            <v>39732</v>
          </cell>
        </row>
        <row r="68">
          <cell r="A68" t="str">
            <v>04.3111</v>
          </cell>
          <cell r="B68" t="str">
            <v>Beâ toâng loùt moùng baûn M#100 ñaù 4x6</v>
          </cell>
          <cell r="C68" t="str">
            <v>m 3</v>
          </cell>
          <cell r="D68">
            <v>315919</v>
          </cell>
          <cell r="E68">
            <v>32080</v>
          </cell>
        </row>
        <row r="69">
          <cell r="A69" t="str">
            <v>04.3112</v>
          </cell>
          <cell r="B69" t="str">
            <v>Beâ toâng loùt moùng baûn M#150 ñaù 4x6</v>
          </cell>
          <cell r="C69" t="str">
            <v>m 3</v>
          </cell>
          <cell r="D69">
            <v>367816</v>
          </cell>
          <cell r="E69">
            <v>32080</v>
          </cell>
        </row>
        <row r="70">
          <cell r="A70" t="str">
            <v>04.3201</v>
          </cell>
          <cell r="B70" t="str">
            <v>Beâ toâng moùng truï M100 baèng thuû coâng keát hôïp cô giôùi</v>
          </cell>
          <cell r="C70" t="str">
            <v>m 3</v>
          </cell>
          <cell r="D70">
            <v>315919</v>
          </cell>
          <cell r="E70">
            <v>26783</v>
          </cell>
          <cell r="F70">
            <v>12544</v>
          </cell>
        </row>
        <row r="71">
          <cell r="A71" t="str">
            <v>04.3202</v>
          </cell>
          <cell r="B71" t="str">
            <v>Beâ toâng moùng truï M150 baèng thuû coâng keát hôïp cô giôùi</v>
          </cell>
          <cell r="C71" t="str">
            <v>m 3</v>
          </cell>
          <cell r="D71">
            <v>367816</v>
          </cell>
          <cell r="E71">
            <v>26783</v>
          </cell>
          <cell r="F71">
            <v>12544</v>
          </cell>
        </row>
        <row r="72">
          <cell r="A72" t="str">
            <v>04.3203</v>
          </cell>
          <cell r="B72" t="str">
            <v>Beâ toâng moùng truï M200 baèng thuû coâng keát hôïp cô giôùi</v>
          </cell>
          <cell r="C72" t="str">
            <v>m 3</v>
          </cell>
          <cell r="D72">
            <v>418128</v>
          </cell>
          <cell r="E72">
            <v>26783</v>
          </cell>
          <cell r="F72">
            <v>12544</v>
          </cell>
        </row>
        <row r="73">
          <cell r="A73" t="str">
            <v>04.3204</v>
          </cell>
          <cell r="B73" t="str">
            <v>Beâ toâng moùng truï M250 baèng thuû coâng keát hôïp cô giôùi</v>
          </cell>
          <cell r="C73" t="str">
            <v>m 3</v>
          </cell>
          <cell r="D73">
            <v>471745</v>
          </cell>
          <cell r="E73">
            <v>26783</v>
          </cell>
          <cell r="F73">
            <v>12544</v>
          </cell>
        </row>
        <row r="74">
          <cell r="A74" t="str">
            <v>04.3312</v>
          </cell>
          <cell r="B74" t="str">
            <v>Beâ toâng moùng truï khoâng coù caàu coâng taùc M150</v>
          </cell>
          <cell r="C74" t="str">
            <v>m 3</v>
          </cell>
          <cell r="D74">
            <v>389957</v>
          </cell>
          <cell r="E74">
            <v>45030</v>
          </cell>
        </row>
        <row r="75">
          <cell r="A75" t="str">
            <v>04.3313</v>
          </cell>
          <cell r="B75" t="str">
            <v>Beâ toâng moùng truï khoâng coù caàu coâng taùc M200</v>
          </cell>
          <cell r="C75" t="str">
            <v>m 3</v>
          </cell>
          <cell r="D75">
            <v>389957</v>
          </cell>
          <cell r="E75">
            <v>45030</v>
          </cell>
        </row>
        <row r="76">
          <cell r="A76" t="str">
            <v>04.3333</v>
          </cell>
          <cell r="B76" t="str">
            <v>BT moùng truï coù caàu coâng taùc M#200 ñaù 2x4 (TC keát hôïp ñaàm duøi)</v>
          </cell>
          <cell r="C76" t="str">
            <v>m 3</v>
          </cell>
          <cell r="D76">
            <v>476738</v>
          </cell>
          <cell r="E76">
            <v>44589</v>
          </cell>
          <cell r="F76">
            <v>4003</v>
          </cell>
        </row>
        <row r="77">
          <cell r="A77" t="str">
            <v>04.3334</v>
          </cell>
          <cell r="B77" t="str">
            <v>BT moùng truï coù caàu coâng taùc M#250 ñaù 2x4 (TC keát hôïp ñaàm duøi)</v>
          </cell>
          <cell r="C77" t="str">
            <v>m 3</v>
          </cell>
          <cell r="D77">
            <v>533530</v>
          </cell>
          <cell r="E77">
            <v>44589</v>
          </cell>
          <cell r="F77">
            <v>4003</v>
          </cell>
        </row>
        <row r="78">
          <cell r="A78" t="str">
            <v>04.3343</v>
          </cell>
          <cell r="B78" t="str">
            <v>BT moùng truï khoâng coù caàu coâng taùc M#200 ñaù 2x4 (TC keát hôïp ñaàm duøi)</v>
          </cell>
          <cell r="C78" t="str">
            <v>m 3</v>
          </cell>
          <cell r="D78">
            <v>443488</v>
          </cell>
          <cell r="E78">
            <v>38261</v>
          </cell>
          <cell r="F78">
            <v>4003</v>
          </cell>
        </row>
        <row r="79">
          <cell r="A79" t="str">
            <v>04.3344</v>
          </cell>
          <cell r="B79" t="str">
            <v>BT moùng truï khoâng coù caàu coâng taùc M#250 ñaù 2x4 (TC keát hôïp ñaàm duøi)</v>
          </cell>
          <cell r="C79" t="str">
            <v>m 3</v>
          </cell>
          <cell r="D79">
            <v>500280</v>
          </cell>
          <cell r="E79">
            <v>38261</v>
          </cell>
          <cell r="F79">
            <v>4003</v>
          </cell>
        </row>
        <row r="80">
          <cell r="A80" t="str">
            <v>04.3353</v>
          </cell>
          <cell r="B80" t="str">
            <v>BT moùng baûnï coù caàu coâng taùc M#200 ñaù 2x4 (TC keát hôïp ñaàm duøi)</v>
          </cell>
          <cell r="C80" t="str">
            <v>m 3</v>
          </cell>
          <cell r="D80">
            <v>476738</v>
          </cell>
          <cell r="E80">
            <v>41498</v>
          </cell>
          <cell r="F80">
            <v>4003</v>
          </cell>
        </row>
        <row r="81">
          <cell r="A81" t="str">
            <v>04.3354</v>
          </cell>
          <cell r="B81" t="str">
            <v>BT moùng baûnï coù caàu coâng taùc M#250 ñaù 2x4 (TC keát hôïp ñaàm duøi)</v>
          </cell>
          <cell r="C81" t="str">
            <v>m 3</v>
          </cell>
          <cell r="D81">
            <v>533530</v>
          </cell>
          <cell r="E81">
            <v>41498</v>
          </cell>
          <cell r="F81">
            <v>4003</v>
          </cell>
        </row>
        <row r="82">
          <cell r="A82" t="str">
            <v>04.3601</v>
          </cell>
          <cell r="D82">
            <v>447735</v>
          </cell>
          <cell r="E82">
            <v>50328</v>
          </cell>
        </row>
        <row r="83">
          <cell r="A83" t="str">
            <v>04.3801</v>
          </cell>
          <cell r="B83" t="str">
            <v>Laép ñaët moùng neùo troïng löôïng £ 0,25T</v>
          </cell>
          <cell r="C83" t="str">
            <v>caùi</v>
          </cell>
          <cell r="E83">
            <v>11051</v>
          </cell>
        </row>
        <row r="84">
          <cell r="A84" t="str">
            <v>04.3802</v>
          </cell>
          <cell r="B84" t="str">
            <v>Laép ñaët moùng neùo troïng löôïng £ 0,5T</v>
          </cell>
          <cell r="C84" t="str">
            <v>caùi</v>
          </cell>
          <cell r="E84">
            <v>24214</v>
          </cell>
        </row>
        <row r="85">
          <cell r="A85" t="str">
            <v>04.3803</v>
          </cell>
          <cell r="B85" t="str">
            <v>Laép ñaët moùng neùo troïng löôïng &gt; 0,5T</v>
          </cell>
          <cell r="C85" t="str">
            <v>caùi</v>
          </cell>
          <cell r="E85">
            <v>42252</v>
          </cell>
        </row>
        <row r="86">
          <cell r="A86" t="str">
            <v>05.4101</v>
          </cell>
          <cell r="B86" t="str">
            <v>Laép ñaët coät theùp baèng thuû coâng (chieáu cao £15m)</v>
          </cell>
          <cell r="C86" t="str">
            <v>taán</v>
          </cell>
          <cell r="D86">
            <v>5359</v>
          </cell>
          <cell r="E86">
            <v>183473</v>
          </cell>
        </row>
        <row r="87">
          <cell r="A87" t="str">
            <v>05.4201</v>
          </cell>
          <cell r="B87" t="str">
            <v>Laép ñaët coät theùp baèng thuû coâng (chieáu cao £25m)</v>
          </cell>
          <cell r="C87" t="str">
            <v>taán</v>
          </cell>
          <cell r="D87">
            <v>12217</v>
          </cell>
          <cell r="E87">
            <v>201837</v>
          </cell>
        </row>
        <row r="88">
          <cell r="A88" t="str">
            <v>05.4301</v>
          </cell>
          <cell r="B88" t="str">
            <v>Laép ñaët coät theùp baèng thuû coâng (chieáu cao £40m)</v>
          </cell>
          <cell r="C88" t="str">
            <v>taán</v>
          </cell>
          <cell r="D88">
            <v>12860</v>
          </cell>
          <cell r="E88">
            <v>232064</v>
          </cell>
        </row>
        <row r="89">
          <cell r="A89" t="str">
            <v>05.4401</v>
          </cell>
          <cell r="B89" t="str">
            <v>Laép ñaët coät theùp baèng thuû coâng (chieáu cao £55m)</v>
          </cell>
          <cell r="C89" t="str">
            <v>taán</v>
          </cell>
          <cell r="D89">
            <v>15646</v>
          </cell>
          <cell r="E89">
            <v>266841</v>
          </cell>
        </row>
        <row r="90">
          <cell r="A90" t="str">
            <v>05.4501</v>
          </cell>
          <cell r="B90" t="str">
            <v>Laép ñaët coät theùp baèng thuû coâng (chieáu cao £70m)</v>
          </cell>
          <cell r="C90" t="str">
            <v>taán</v>
          </cell>
          <cell r="D90">
            <v>16289</v>
          </cell>
          <cell r="E90">
            <v>307143</v>
          </cell>
        </row>
        <row r="91">
          <cell r="A91" t="str">
            <v>05.4601</v>
          </cell>
          <cell r="B91" t="str">
            <v>Laép ñaët coät theùp baèng thuû coâng (chieáu cao £85m)</v>
          </cell>
          <cell r="C91" t="str">
            <v>taán</v>
          </cell>
          <cell r="D91">
            <v>16932</v>
          </cell>
          <cell r="E91">
            <v>352808</v>
          </cell>
        </row>
        <row r="92">
          <cell r="A92" t="str">
            <v>05.4701</v>
          </cell>
          <cell r="B92" t="str">
            <v>Laép ñaët coät theùp baèng thuû coâng (chieáu cao £100m)</v>
          </cell>
          <cell r="C92" t="str">
            <v>taán</v>
          </cell>
          <cell r="D92">
            <v>16932</v>
          </cell>
          <cell r="E92">
            <v>405786</v>
          </cell>
        </row>
        <row r="93">
          <cell r="A93" t="str">
            <v>05.5101</v>
          </cell>
          <cell r="B93" t="str">
            <v>Noái coät beâ toâng baèng maët bích (ÑH bình thöôøng)</v>
          </cell>
          <cell r="C93" t="str">
            <v>moái</v>
          </cell>
          <cell r="D93">
            <v>12573</v>
          </cell>
          <cell r="E93">
            <v>48753</v>
          </cell>
        </row>
        <row r="94">
          <cell r="A94" t="str">
            <v>05.5102</v>
          </cell>
          <cell r="B94" t="str">
            <v>Noái coät beâ toâng baèng maët bích (ÑH söôøn ñoài)</v>
          </cell>
          <cell r="C94" t="str">
            <v>moái</v>
          </cell>
          <cell r="D94">
            <v>12573</v>
          </cell>
          <cell r="E94">
            <v>51190</v>
          </cell>
        </row>
        <row r="95">
          <cell r="A95" t="str">
            <v>05.5103</v>
          </cell>
          <cell r="B95" t="str">
            <v>Noái coät beâ toâng baèng maët bích (ÑH sình laày)</v>
          </cell>
          <cell r="C95" t="str">
            <v>moái</v>
          </cell>
          <cell r="D95">
            <v>34960</v>
          </cell>
          <cell r="E95">
            <v>58503</v>
          </cell>
        </row>
        <row r="96">
          <cell r="A96" t="str">
            <v>05.5211</v>
          </cell>
          <cell r="B96" t="str">
            <v>Döïng coät beâ toâng baèng thuû coâng (chieáu cao £ 8m)</v>
          </cell>
          <cell r="C96" t="str">
            <v>coät</v>
          </cell>
          <cell r="D96">
            <v>20790</v>
          </cell>
          <cell r="E96">
            <v>74917</v>
          </cell>
        </row>
        <row r="97">
          <cell r="A97" t="str">
            <v>05.5212</v>
          </cell>
          <cell r="B97" t="str">
            <v>Döïng coät beâ toâng baèng thuû coâng (chieáu cao £ 10m)</v>
          </cell>
          <cell r="C97" t="str">
            <v>coät</v>
          </cell>
          <cell r="D97">
            <v>20790</v>
          </cell>
          <cell r="E97">
            <v>80605</v>
          </cell>
        </row>
        <row r="98">
          <cell r="A98" t="str">
            <v>05.5213</v>
          </cell>
          <cell r="B98" t="str">
            <v>Döïng coät beâ toâng baèng thuû coâng (chieáu cao £ 12m)</v>
          </cell>
          <cell r="C98" t="str">
            <v>coät</v>
          </cell>
          <cell r="D98">
            <v>20790</v>
          </cell>
          <cell r="E98">
            <v>86293</v>
          </cell>
        </row>
        <row r="99">
          <cell r="A99" t="str">
            <v>05.5214</v>
          </cell>
          <cell r="B99" t="str">
            <v>Döïng coät beâ toâng baèng thuû coâng (chieáu cao £ 14m)</v>
          </cell>
          <cell r="C99" t="str">
            <v>coät</v>
          </cell>
          <cell r="D99">
            <v>20790</v>
          </cell>
          <cell r="E99">
            <v>107419</v>
          </cell>
        </row>
        <row r="100">
          <cell r="A100" t="str">
            <v>05.5215</v>
          </cell>
          <cell r="B100" t="str">
            <v>Döïng coät beâ toâng baèng thuû coâng (chieáu cao £ 16m)</v>
          </cell>
          <cell r="C100" t="str">
            <v>coät</v>
          </cell>
          <cell r="D100">
            <v>24448</v>
          </cell>
          <cell r="E100">
            <v>116844</v>
          </cell>
        </row>
        <row r="101">
          <cell r="A101" t="str">
            <v>05.5216</v>
          </cell>
          <cell r="B101" t="str">
            <v>Döïng coät beâ toâng baèng thuû coâng (chieáu cao £ 18m)</v>
          </cell>
          <cell r="C101" t="str">
            <v>coät</v>
          </cell>
          <cell r="D101">
            <v>24448</v>
          </cell>
          <cell r="E101">
            <v>152271</v>
          </cell>
        </row>
        <row r="102">
          <cell r="A102" t="str">
            <v>05.5217</v>
          </cell>
          <cell r="B102" t="str">
            <v>Döïng coät beâ toâng baèng thuû coâng (chieáu cao £ 20m)</v>
          </cell>
          <cell r="C102" t="str">
            <v>coät</v>
          </cell>
          <cell r="D102">
            <v>24448</v>
          </cell>
          <cell r="E102">
            <v>177460</v>
          </cell>
        </row>
        <row r="103">
          <cell r="A103" t="str">
            <v>05.5218</v>
          </cell>
          <cell r="B103" t="str">
            <v>Döïng coät beâ toâng baèng thuû coâng (chieáu cao &gt; 20m)</v>
          </cell>
          <cell r="C103" t="str">
            <v>coät</v>
          </cell>
          <cell r="D103">
            <v>24448</v>
          </cell>
          <cell r="E103">
            <v>193711</v>
          </cell>
        </row>
        <row r="104">
          <cell r="A104" t="str">
            <v>05.6011</v>
          </cell>
          <cell r="B104" t="str">
            <v>Laép ñaët xaø theùp cho coät ñôõ (troïng löôïng 25 kg)</v>
          </cell>
          <cell r="C104" t="str">
            <v>boä</v>
          </cell>
          <cell r="E104">
            <v>13161</v>
          </cell>
        </row>
        <row r="105">
          <cell r="A105" t="str">
            <v>05.6021</v>
          </cell>
          <cell r="B105" t="str">
            <v>Laép ñaët xaø theùp cho coät ñôõ (troïng löôïng 50 kg)</v>
          </cell>
          <cell r="C105" t="str">
            <v>boä</v>
          </cell>
          <cell r="E105">
            <v>17806</v>
          </cell>
        </row>
        <row r="106">
          <cell r="A106" t="str">
            <v>05.6031</v>
          </cell>
          <cell r="B106" t="str">
            <v>Laép ñaët xaø theùp cho coät ñôõ (troïng löôïng 100 kg)</v>
          </cell>
          <cell r="C106" t="str">
            <v>boä</v>
          </cell>
          <cell r="E106">
            <v>23999</v>
          </cell>
        </row>
        <row r="107">
          <cell r="A107" t="str">
            <v>05.6041</v>
          </cell>
          <cell r="B107" t="str">
            <v>Laép ñaët xaø theùp cho coät ñôõ (troïng löôïng 140 kg)</v>
          </cell>
          <cell r="C107" t="str">
            <v>boä</v>
          </cell>
          <cell r="E107">
            <v>28799</v>
          </cell>
        </row>
        <row r="108">
          <cell r="A108" t="str">
            <v>05.6051</v>
          </cell>
          <cell r="B108" t="str">
            <v>Laép ñaët xaø theùp cho coät ñôõ (troïng löôïng 230 kg)</v>
          </cell>
          <cell r="C108" t="str">
            <v>boä</v>
          </cell>
          <cell r="E108">
            <v>39792</v>
          </cell>
        </row>
        <row r="109">
          <cell r="A109" t="str">
            <v>05.6061</v>
          </cell>
          <cell r="B109" t="str">
            <v>Laép ñaët xaø theùp cho coät ñôõ (troïng löôïng 320 kg)</v>
          </cell>
          <cell r="C109" t="str">
            <v>boä</v>
          </cell>
          <cell r="E109">
            <v>50785</v>
          </cell>
        </row>
        <row r="110">
          <cell r="A110" t="str">
            <v>05.6071</v>
          </cell>
          <cell r="B110" t="str">
            <v>Laép ñaët xaø theùp cho coät ñôõ (troïng löôïng 410 kg)</v>
          </cell>
          <cell r="C110" t="str">
            <v>boä</v>
          </cell>
          <cell r="E110">
            <v>59920</v>
          </cell>
        </row>
        <row r="111">
          <cell r="A111" t="str">
            <v>05.6081</v>
          </cell>
          <cell r="B111" t="str">
            <v>Laép ñaët xaø theùp cho coät ñôõ (troïng löôïng 500 kg)</v>
          </cell>
          <cell r="C111" t="str">
            <v>boä</v>
          </cell>
          <cell r="E111">
            <v>70759</v>
          </cell>
        </row>
        <row r="112">
          <cell r="A112" t="str">
            <v>05.6012</v>
          </cell>
          <cell r="B112" t="str">
            <v>Laép ñaët xaø theùp cho coät neùo (troïng löôïng 25 kg)</v>
          </cell>
          <cell r="C112" t="str">
            <v>boä</v>
          </cell>
          <cell r="E112">
            <v>17496</v>
          </cell>
        </row>
        <row r="113">
          <cell r="A113" t="str">
            <v>05.6022</v>
          </cell>
          <cell r="B113" t="str">
            <v>Laép ñaët xaø theùp cho coät neùoõ (troïng löôïng 50 kg)</v>
          </cell>
          <cell r="C113" t="str">
            <v>boä</v>
          </cell>
          <cell r="E113">
            <v>23689</v>
          </cell>
        </row>
        <row r="114">
          <cell r="A114" t="str">
            <v>05.6032</v>
          </cell>
          <cell r="B114" t="str">
            <v>Laép ñaët xaø theùp cho coät neùo (troïng löôïng 100 kg)</v>
          </cell>
          <cell r="C114" t="str">
            <v>boä</v>
          </cell>
          <cell r="E114">
            <v>31896</v>
          </cell>
        </row>
        <row r="115">
          <cell r="A115" t="str">
            <v>05.6042</v>
          </cell>
          <cell r="B115" t="str">
            <v>Laép ñaët xaø theùp cho coät neùo (troïng löôïng 140 kg)</v>
          </cell>
          <cell r="C115" t="str">
            <v>boä</v>
          </cell>
          <cell r="E115">
            <v>38244</v>
          </cell>
        </row>
        <row r="116">
          <cell r="A116" t="str">
            <v>05.6052</v>
          </cell>
          <cell r="B116" t="str">
            <v>Laép ñaët xaø theùp cho coät neùo (troïng löôïng 230 kg)</v>
          </cell>
          <cell r="C116" t="str">
            <v>boä</v>
          </cell>
          <cell r="E116">
            <v>52798</v>
          </cell>
        </row>
        <row r="117">
          <cell r="A117" t="str">
            <v>05.6062</v>
          </cell>
          <cell r="B117" t="str">
            <v>Laép ñaët xaø theùp cho coät neùo (troïng löôïng 320 kg)</v>
          </cell>
          <cell r="C117" t="str">
            <v>boä</v>
          </cell>
          <cell r="E117">
            <v>67507</v>
          </cell>
        </row>
        <row r="118">
          <cell r="A118" t="str">
            <v>05.6072</v>
          </cell>
          <cell r="B118" t="str">
            <v>Laép ñaët xaø theùp cho coät neùo (troïng löôïng 410 kg)</v>
          </cell>
          <cell r="C118" t="str">
            <v>boä</v>
          </cell>
          <cell r="E118">
            <v>79584</v>
          </cell>
        </row>
        <row r="119">
          <cell r="A119" t="str">
            <v>05.6082</v>
          </cell>
          <cell r="B119" t="str">
            <v>Laép ñaët xaø theùp cho coät neùo (troïng löôïng 500 kg)</v>
          </cell>
          <cell r="C119" t="str">
            <v>boä</v>
          </cell>
          <cell r="E119">
            <v>93984</v>
          </cell>
        </row>
        <row r="120">
          <cell r="A120" t="str">
            <v>05.6043</v>
          </cell>
          <cell r="B120" t="str">
            <v>Laép ñaët xaø theùp cho coät ñuùp (troïng löôïng 140 kg)</v>
          </cell>
          <cell r="C120" t="str">
            <v>boä</v>
          </cell>
          <cell r="E120">
            <v>32515</v>
          </cell>
        </row>
        <row r="121">
          <cell r="A121" t="str">
            <v>05.6053</v>
          </cell>
          <cell r="B121" t="str">
            <v>Laép ñaët xaø theùp cho coät ñuùp (troïng löôïng 230 kg)</v>
          </cell>
          <cell r="C121" t="str">
            <v>boä</v>
          </cell>
          <cell r="E121">
            <v>46295</v>
          </cell>
        </row>
        <row r="122">
          <cell r="A122" t="str">
            <v>05.6063</v>
          </cell>
          <cell r="B122" t="str">
            <v>Laép ñaët xaø theùp cho coät ñuùp (troïng löôïng 320 kg)</v>
          </cell>
          <cell r="C122" t="str">
            <v>boä</v>
          </cell>
          <cell r="E122">
            <v>58062</v>
          </cell>
        </row>
        <row r="123">
          <cell r="A123" t="str">
            <v>05.6073</v>
          </cell>
          <cell r="B123" t="str">
            <v>Laép ñaët xaø theùp cho coät ñuùp (troïng löôïng 410 kg)</v>
          </cell>
          <cell r="C123" t="str">
            <v>boä</v>
          </cell>
          <cell r="E123">
            <v>64101</v>
          </cell>
        </row>
        <row r="124">
          <cell r="A124" t="str">
            <v>05.6083</v>
          </cell>
          <cell r="B124" t="str">
            <v>Laép ñaët xaø theùp cho coät ñuùp (troïng löôïng 500 kg)</v>
          </cell>
          <cell r="C124" t="str">
            <v>boä</v>
          </cell>
          <cell r="E124">
            <v>69985</v>
          </cell>
        </row>
        <row r="125">
          <cell r="A125" t="str">
            <v>05.6093</v>
          </cell>
          <cell r="B125" t="str">
            <v>Laép ñaët xaø theùp cho coät ñuùp (troïng löôïng 750 kg)</v>
          </cell>
          <cell r="C125" t="str">
            <v>boä</v>
          </cell>
          <cell r="E125">
            <v>89648</v>
          </cell>
        </row>
        <row r="126">
          <cell r="A126" t="str">
            <v>05.6103</v>
          </cell>
          <cell r="B126" t="str">
            <v>Laép ñaët xaø theùp cho coät ñuùp (troïng löôïng 1000 kg)</v>
          </cell>
          <cell r="C126" t="str">
            <v>boä</v>
          </cell>
          <cell r="E126">
            <v>105751</v>
          </cell>
        </row>
        <row r="127">
          <cell r="A127" t="str">
            <v>05.6044</v>
          </cell>
          <cell r="B127" t="str">
            <v>Laép ñaët xaø theùp cho coät ñuùp (troïng löôïng 140 kg)</v>
          </cell>
          <cell r="C127" t="str">
            <v>boä</v>
          </cell>
          <cell r="E127">
            <v>36076</v>
          </cell>
        </row>
        <row r="128">
          <cell r="A128" t="str">
            <v>05.6054</v>
          </cell>
          <cell r="B128" t="str">
            <v>Laép ñaët xaø theùp cho coät ñuùp (troïng löôïng 230 kg)</v>
          </cell>
          <cell r="C128" t="str">
            <v>boä</v>
          </cell>
          <cell r="E128">
            <v>51559</v>
          </cell>
        </row>
        <row r="129">
          <cell r="A129" t="str">
            <v>05.6064</v>
          </cell>
          <cell r="B129" t="str">
            <v>Laép ñaët xaø theùp cho coät ñuùp (troïng löôïng 320 kg)</v>
          </cell>
          <cell r="C129" t="str">
            <v>boä</v>
          </cell>
          <cell r="E129">
            <v>64565</v>
          </cell>
        </row>
        <row r="130">
          <cell r="A130" t="str">
            <v>05.6074</v>
          </cell>
          <cell r="B130" t="str">
            <v>Laép ñaët xaø theùp cho coät ñuùp (troïng löôïng 410 kg)</v>
          </cell>
          <cell r="C130" t="str">
            <v>boä</v>
          </cell>
          <cell r="E130">
            <v>71223</v>
          </cell>
        </row>
        <row r="131">
          <cell r="A131" t="str">
            <v>05.6084</v>
          </cell>
          <cell r="B131" t="str">
            <v>Laép ñaët xaø theùp cho coät ñuùp (troïng löôïng 500 kg)</v>
          </cell>
          <cell r="C131" t="str">
            <v>boä</v>
          </cell>
          <cell r="E131">
            <v>77726</v>
          </cell>
        </row>
        <row r="132">
          <cell r="A132" t="str">
            <v>05.6094</v>
          </cell>
          <cell r="B132" t="str">
            <v>Laép ñaët xaø theùp cho coät ñuùp (troïng löôïng 750 kg)</v>
          </cell>
          <cell r="C132" t="str">
            <v>boä</v>
          </cell>
          <cell r="E132">
            <v>99558</v>
          </cell>
        </row>
        <row r="133">
          <cell r="A133" t="str">
            <v>05.6104</v>
          </cell>
          <cell r="B133" t="str">
            <v>Laép ñaët xaø theùp cho coät ñuùp (troïng löôïng 1000 kg)</v>
          </cell>
          <cell r="C133" t="str">
            <v>boä</v>
          </cell>
          <cell r="E133">
            <v>117518</v>
          </cell>
        </row>
        <row r="134">
          <cell r="A134" t="str">
            <v>05.8002</v>
          </cell>
          <cell r="B134" t="str">
            <v xml:space="preserve">Ñoùng coïc tieáp ñaát </v>
          </cell>
          <cell r="D134">
            <v>714</v>
          </cell>
          <cell r="E134">
            <v>4335.3</v>
          </cell>
          <cell r="F134">
            <v>776</v>
          </cell>
        </row>
        <row r="135">
          <cell r="A135" t="str">
            <v>05.7001</v>
          </cell>
          <cell r="B135" t="str">
            <v xml:space="preserve">Laép ñaët daây tieáp ñaát </v>
          </cell>
          <cell r="D135">
            <v>10</v>
          </cell>
          <cell r="E135">
            <v>154.83000000000001</v>
          </cell>
        </row>
        <row r="138">
          <cell r="A138" t="str">
            <v>06.1105</v>
          </cell>
          <cell r="B138" t="str">
            <v>Laép ñaët söù ñöùng 22 kV</v>
          </cell>
          <cell r="C138" t="str">
            <v>söù</v>
          </cell>
          <cell r="D138">
            <v>155</v>
          </cell>
          <cell r="E138">
            <v>3499.2</v>
          </cell>
        </row>
        <row r="139">
          <cell r="A139" t="str">
            <v>06.1106</v>
          </cell>
          <cell r="B139" t="str">
            <v>Laép ñaët söù ñöùng 35 kV</v>
          </cell>
          <cell r="C139" t="str">
            <v>söù</v>
          </cell>
          <cell r="D139">
            <v>155</v>
          </cell>
          <cell r="E139">
            <v>4459.2</v>
          </cell>
        </row>
        <row r="140">
          <cell r="A140" t="str">
            <v>06.1211</v>
          </cell>
          <cell r="B140" t="str">
            <v>Laép ñaët söù ñöùng haï theá loaïi 1 söù</v>
          </cell>
          <cell r="C140" t="str">
            <v>söù</v>
          </cell>
          <cell r="D140">
            <v>2621.9</v>
          </cell>
          <cell r="E140">
            <v>882.9</v>
          </cell>
        </row>
        <row r="141">
          <cell r="A141" t="str">
            <v>06.1213</v>
          </cell>
          <cell r="B141" t="str">
            <v>Laép ñaët söù ñöùng haï theá loaïi 2 söù</v>
          </cell>
          <cell r="C141" t="str">
            <v>söù</v>
          </cell>
          <cell r="D141">
            <v>4735.5</v>
          </cell>
          <cell r="E141">
            <v>2884.3</v>
          </cell>
        </row>
        <row r="142">
          <cell r="A142" t="str">
            <v>06.1214</v>
          </cell>
          <cell r="B142" t="str">
            <v>Laép ñaët söù ñöùng haï theá loaïi 3 söù</v>
          </cell>
          <cell r="C142" t="str">
            <v>söù</v>
          </cell>
          <cell r="D142">
            <v>14490</v>
          </cell>
          <cell r="E142">
            <v>4017.4</v>
          </cell>
        </row>
        <row r="143">
          <cell r="A143" t="str">
            <v>06.1215</v>
          </cell>
          <cell r="B143" t="str">
            <v>Laép ñaët söù ñöùng haï theá loaïi 4 söù</v>
          </cell>
          <cell r="C143" t="str">
            <v>söù</v>
          </cell>
          <cell r="D143">
            <v>21000</v>
          </cell>
          <cell r="E143">
            <v>5665.5</v>
          </cell>
        </row>
        <row r="144">
          <cell r="A144" t="str">
            <v>06.1411</v>
          </cell>
          <cell r="B144" t="str">
            <v>Laép ñaët chuoãi söù ñôõ £ 2 baùt chieàu cao £ 20m</v>
          </cell>
          <cell r="C144" t="str">
            <v>chuoãi</v>
          </cell>
          <cell r="D144">
            <v>405</v>
          </cell>
          <cell r="E144">
            <v>2925</v>
          </cell>
        </row>
        <row r="145">
          <cell r="A145" t="str">
            <v>06.1412</v>
          </cell>
          <cell r="B145" t="str">
            <v>Laép ñaët chuoãi söù ñôõ £ 2 baùt chieàu cao £ 30m</v>
          </cell>
          <cell r="C145" t="str">
            <v>chuoãi</v>
          </cell>
          <cell r="D145">
            <v>405</v>
          </cell>
          <cell r="E145">
            <v>3738</v>
          </cell>
        </row>
        <row r="146">
          <cell r="A146" t="str">
            <v>06.1421</v>
          </cell>
          <cell r="B146" t="str">
            <v>Laép ñaët chuoãi söù ñôõ £ 5 baùt chieàu cao £ 20m</v>
          </cell>
          <cell r="C146" t="str">
            <v>chuoãi</v>
          </cell>
          <cell r="D146">
            <v>610</v>
          </cell>
          <cell r="E146">
            <v>6500</v>
          </cell>
        </row>
        <row r="147">
          <cell r="A147" t="str">
            <v>06.1422</v>
          </cell>
          <cell r="B147" t="str">
            <v>Laép ñaët chuoãi söù ñôõ £ 5 baùt chieàu cao £ 30m</v>
          </cell>
          <cell r="C147" t="str">
            <v>chuoãi</v>
          </cell>
          <cell r="D147">
            <v>610</v>
          </cell>
          <cell r="E147">
            <v>6825</v>
          </cell>
        </row>
        <row r="148">
          <cell r="A148" t="str">
            <v>06.1431</v>
          </cell>
          <cell r="B148" t="str">
            <v>Laép ñaët chuoãi söù ñôõ £ 8 baùt chieàu cao £ 20m</v>
          </cell>
          <cell r="C148" t="str">
            <v>chuoãi</v>
          </cell>
          <cell r="D148">
            <v>975</v>
          </cell>
          <cell r="E148">
            <v>10401</v>
          </cell>
        </row>
        <row r="149">
          <cell r="A149" t="str">
            <v>06.1432</v>
          </cell>
          <cell r="B149" t="str">
            <v>Laép ñaët chuoãi söù ñôõ £ 8 baùt chieàu cao £ 30m</v>
          </cell>
          <cell r="C149" t="str">
            <v>chuoãi</v>
          </cell>
          <cell r="D149">
            <v>975</v>
          </cell>
          <cell r="E149">
            <v>10888</v>
          </cell>
        </row>
        <row r="150">
          <cell r="A150" t="str">
            <v>06.1441</v>
          </cell>
          <cell r="B150" t="str">
            <v>Laép ñaët chuoãi söù ñôõ £ 11 baùt chieàu cao £ 20m</v>
          </cell>
          <cell r="C150" t="str">
            <v>chuoãi</v>
          </cell>
          <cell r="D150">
            <v>1335</v>
          </cell>
          <cell r="E150">
            <v>14626</v>
          </cell>
        </row>
        <row r="151">
          <cell r="A151" t="str">
            <v>06.1442</v>
          </cell>
          <cell r="B151" t="str">
            <v>Laép ñaët chuoãi söù ñôõ £ 11 baùt chieàu cao £ 30m</v>
          </cell>
          <cell r="C151" t="str">
            <v>chuoãi</v>
          </cell>
          <cell r="D151">
            <v>1335</v>
          </cell>
          <cell r="E151">
            <v>15438</v>
          </cell>
        </row>
        <row r="152">
          <cell r="A152" t="str">
            <v>06.1511</v>
          </cell>
          <cell r="B152" t="str">
            <v>Laép ñaët chuoãi söù neùo £ 2 baùt chieàu cao £ 20m</v>
          </cell>
          <cell r="C152" t="str">
            <v>chuoãi</v>
          </cell>
          <cell r="D152">
            <v>405</v>
          </cell>
          <cell r="E152">
            <v>3088</v>
          </cell>
        </row>
        <row r="153">
          <cell r="A153" t="str">
            <v>06.1512</v>
          </cell>
          <cell r="B153" t="str">
            <v>Laép ñaët chuoãi söù neùo £ 2 baùt chieàu cao £ 30m</v>
          </cell>
          <cell r="C153" t="str">
            <v>chuoãi</v>
          </cell>
          <cell r="D153">
            <v>405</v>
          </cell>
          <cell r="E153">
            <v>3900</v>
          </cell>
        </row>
        <row r="154">
          <cell r="A154" t="str">
            <v>06.1521</v>
          </cell>
          <cell r="B154" t="str">
            <v>Laép ñaët chuoãi söù neùo £ 5 baùt chieàu cao £ 20m</v>
          </cell>
          <cell r="C154" t="str">
            <v>chuoãi</v>
          </cell>
          <cell r="D154">
            <v>610</v>
          </cell>
          <cell r="E154">
            <v>7313</v>
          </cell>
        </row>
        <row r="155">
          <cell r="A155" t="str">
            <v>06.1522</v>
          </cell>
          <cell r="B155" t="str">
            <v>Laép ñaët chuoãi söù neùo £ 5 baùt chieàu cao £ 30m</v>
          </cell>
          <cell r="C155" t="str">
            <v>chuoãi</v>
          </cell>
          <cell r="D155">
            <v>610</v>
          </cell>
          <cell r="E155">
            <v>7638</v>
          </cell>
        </row>
        <row r="156">
          <cell r="A156" t="str">
            <v>06.1531</v>
          </cell>
          <cell r="B156" t="str">
            <v>Laép ñaët chuoãi söù neùo £ 8 baùt chieàu cao £ 20m</v>
          </cell>
          <cell r="C156" t="str">
            <v>chuoãi</v>
          </cell>
          <cell r="D156">
            <v>975</v>
          </cell>
          <cell r="E156">
            <v>11538</v>
          </cell>
        </row>
        <row r="157">
          <cell r="A157" t="str">
            <v>06.1532</v>
          </cell>
          <cell r="B157" t="str">
            <v>Laép ñaët chuoãi söù neùo £ 8 baùt chieàu cao £ 30m</v>
          </cell>
          <cell r="C157" t="str">
            <v>chuoãi</v>
          </cell>
          <cell r="D157">
            <v>975</v>
          </cell>
          <cell r="E157">
            <v>12188</v>
          </cell>
        </row>
        <row r="158">
          <cell r="A158" t="str">
            <v>06.1541</v>
          </cell>
          <cell r="B158" t="str">
            <v>Laép ñaët chuoãi söù neùo £ 11 baùt chieàu cao £ 20m</v>
          </cell>
          <cell r="C158" t="str">
            <v>chuoãi</v>
          </cell>
          <cell r="D158">
            <v>1335</v>
          </cell>
          <cell r="E158">
            <v>16413</v>
          </cell>
        </row>
        <row r="159">
          <cell r="A159" t="str">
            <v>06.1542</v>
          </cell>
          <cell r="B159" t="str">
            <v>Laép ñaët chuoãi söù neùo £ 11 baùt chieàu cao £ 30m</v>
          </cell>
          <cell r="C159" t="str">
            <v>chuoãi</v>
          </cell>
          <cell r="D159">
            <v>1335</v>
          </cell>
          <cell r="E159">
            <v>17389</v>
          </cell>
        </row>
        <row r="160">
          <cell r="A160" t="str">
            <v>06.2011</v>
          </cell>
          <cell r="B160" t="str">
            <v>Laép taï choáng rung (Coät coù chieàu cao £ 20m)</v>
          </cell>
          <cell r="C160" t="str">
            <v>boä</v>
          </cell>
          <cell r="E160">
            <v>5850</v>
          </cell>
        </row>
        <row r="161">
          <cell r="A161" t="str">
            <v>06.2012</v>
          </cell>
          <cell r="B161" t="str">
            <v>Laép taï choáng rung (Coät coù chieàu cao £ 30m)</v>
          </cell>
          <cell r="C161" t="str">
            <v>boä</v>
          </cell>
          <cell r="E161">
            <v>6175</v>
          </cell>
        </row>
        <row r="162">
          <cell r="A162" t="str">
            <v>06.2013</v>
          </cell>
          <cell r="B162" t="str">
            <v>Laép taï choáng rung (Coät coù chieàu cao £ 40m)</v>
          </cell>
          <cell r="C162" t="str">
            <v>boä</v>
          </cell>
          <cell r="E162">
            <v>6988</v>
          </cell>
        </row>
        <row r="163">
          <cell r="A163" t="str">
            <v>06.2014</v>
          </cell>
          <cell r="B163" t="str">
            <v>Laép taï choáng rung (Coät coù chieàu cao £ 50m)</v>
          </cell>
          <cell r="C163" t="str">
            <v>boä</v>
          </cell>
          <cell r="E163">
            <v>7963</v>
          </cell>
        </row>
        <row r="164">
          <cell r="A164" t="str">
            <v>06.2015</v>
          </cell>
          <cell r="B164" t="str">
            <v>Laép taï choáng rung (Coät coù chieàu cao &gt; 50m)</v>
          </cell>
          <cell r="C164" t="str">
            <v>boä</v>
          </cell>
          <cell r="E164">
            <v>8776</v>
          </cell>
        </row>
        <row r="165">
          <cell r="A165" t="str">
            <v>06.2110</v>
          </cell>
          <cell r="B165" t="str">
            <v>Laép ñaët coå deà</v>
          </cell>
          <cell r="C165" t="str">
            <v>boä</v>
          </cell>
          <cell r="E165">
            <v>5688</v>
          </cell>
        </row>
        <row r="166">
          <cell r="A166" t="str">
            <v>06.2120</v>
          </cell>
          <cell r="B166" t="str">
            <v xml:space="preserve">Laép ñaët daây neùo </v>
          </cell>
          <cell r="C166" t="str">
            <v>boä</v>
          </cell>
          <cell r="E166">
            <v>7313</v>
          </cell>
        </row>
        <row r="167">
          <cell r="A167" t="str">
            <v>06.2141</v>
          </cell>
          <cell r="B167" t="str">
            <v>Laép ñaët khoùa ñôõ daây choáng seùt tieát dieän £ 70 (Coät coù chieàu cao £ 20m)</v>
          </cell>
          <cell r="C167" t="str">
            <v>boä</v>
          </cell>
          <cell r="E167">
            <v>1788</v>
          </cell>
        </row>
        <row r="168">
          <cell r="A168" t="str">
            <v>06.2142</v>
          </cell>
          <cell r="B168" t="str">
            <v>Laép ñaët khoùa ñôõ daây choáng seùt tieát dieän £ 70 (Coät coù chieàu cao £ 30m)</v>
          </cell>
          <cell r="C168" t="str">
            <v>boä</v>
          </cell>
          <cell r="E168">
            <v>1950</v>
          </cell>
        </row>
        <row r="169">
          <cell r="A169" t="str">
            <v>06.2151</v>
          </cell>
          <cell r="B169" t="str">
            <v>Laép ñaët khoùa ñôõ daây choáng seùt tieát dieän £ 240 (Coät coù chieàu cao £ 20m)</v>
          </cell>
          <cell r="C169" t="str">
            <v>boä</v>
          </cell>
          <cell r="E169">
            <v>2763</v>
          </cell>
        </row>
        <row r="170">
          <cell r="A170" t="str">
            <v>06.2152</v>
          </cell>
          <cell r="B170" t="str">
            <v>Laép ñaët khoùa ñôõ daây choáng seùt tieát dieän £ 240 (Coät coù chieàu cao £ 30m)</v>
          </cell>
          <cell r="C170" t="str">
            <v>boä</v>
          </cell>
          <cell r="E170">
            <v>2925</v>
          </cell>
        </row>
        <row r="171">
          <cell r="A171" t="str">
            <v>06.2161</v>
          </cell>
          <cell r="B171" t="str">
            <v>Laép ñaët khoùa ñôõ daây choáng seùt tieát dieän &gt; 240 (Coät coù chieàu cao £ 20m)</v>
          </cell>
          <cell r="C171" t="str">
            <v>boä</v>
          </cell>
          <cell r="E171">
            <v>5688</v>
          </cell>
        </row>
        <row r="172">
          <cell r="A172" t="str">
            <v>06.2162</v>
          </cell>
          <cell r="B172" t="str">
            <v>Laép ñaët khoùa ñôõ daây choáng seùt tieát dieän &gt; 240 (Coät coù chieàu cao £ 30m)</v>
          </cell>
          <cell r="C172" t="str">
            <v>boä</v>
          </cell>
          <cell r="E172">
            <v>5850</v>
          </cell>
        </row>
        <row r="173">
          <cell r="A173" t="str">
            <v>06.5011</v>
          </cell>
          <cell r="B173" t="str">
            <v>Vöôït ñöôøng daây thoâng tin tieát dieän daây £ 50</v>
          </cell>
          <cell r="C173" t="str">
            <v>V.trí</v>
          </cell>
          <cell r="D173">
            <v>80046</v>
          </cell>
          <cell r="E173">
            <v>78346</v>
          </cell>
        </row>
        <row r="174">
          <cell r="A174" t="str">
            <v>06.5012</v>
          </cell>
          <cell r="B174" t="str">
            <v>Vöôït ñöôøng daây thoâng tin tieát dieän daây £ 95</v>
          </cell>
          <cell r="C174" t="str">
            <v>V.trí</v>
          </cell>
          <cell r="D174">
            <v>111623</v>
          </cell>
          <cell r="E174">
            <v>90887</v>
          </cell>
        </row>
        <row r="175">
          <cell r="A175" t="str">
            <v>06.5013</v>
          </cell>
          <cell r="B175" t="str">
            <v>Vöôït ñöôøng daây thoâng tin tieát dieän daây £ 150</v>
          </cell>
          <cell r="C175" t="str">
            <v>V.trí</v>
          </cell>
          <cell r="D175">
            <v>143516</v>
          </cell>
          <cell r="E175">
            <v>127737</v>
          </cell>
        </row>
        <row r="176">
          <cell r="A176" t="str">
            <v>06.5014</v>
          </cell>
          <cell r="B176" t="str">
            <v>Vöôït ñöôøng daây thoâng tin tieát dieän daây £ 240</v>
          </cell>
          <cell r="C176" t="str">
            <v>V.trí</v>
          </cell>
          <cell r="D176">
            <v>174462</v>
          </cell>
          <cell r="E176">
            <v>143530</v>
          </cell>
        </row>
        <row r="177">
          <cell r="A177" t="str">
            <v>06.5015</v>
          </cell>
          <cell r="B177" t="str">
            <v>Vöôït ñöôøng daây thoâng tin tieát dieän daây &gt; 240</v>
          </cell>
          <cell r="C177" t="str">
            <v>V.trí</v>
          </cell>
          <cell r="D177">
            <v>238247</v>
          </cell>
          <cell r="E177">
            <v>226521</v>
          </cell>
        </row>
        <row r="178">
          <cell r="A178" t="str">
            <v>06.5011</v>
          </cell>
          <cell r="B178" t="str">
            <v>Vöôït ñöôøng daây haï theá tieát dieän daây £ 50</v>
          </cell>
          <cell r="C178" t="str">
            <v>V.trí</v>
          </cell>
          <cell r="D178">
            <v>80046</v>
          </cell>
          <cell r="E178">
            <v>78346</v>
          </cell>
        </row>
        <row r="179">
          <cell r="A179" t="str">
            <v>06.5012</v>
          </cell>
          <cell r="B179" t="str">
            <v>Vöôït ñöôøng daây haï theá tieát dieän daây £ 95</v>
          </cell>
          <cell r="C179" t="str">
            <v>V.trí</v>
          </cell>
          <cell r="D179">
            <v>111623</v>
          </cell>
          <cell r="E179">
            <v>90887</v>
          </cell>
        </row>
        <row r="180">
          <cell r="A180" t="str">
            <v>06.5013</v>
          </cell>
          <cell r="B180" t="str">
            <v>Vöôït ñöôøng daây haï theá tieát dieän daây £ 150</v>
          </cell>
          <cell r="C180" t="str">
            <v>V.trí</v>
          </cell>
          <cell r="D180">
            <v>143516</v>
          </cell>
          <cell r="E180">
            <v>127737</v>
          </cell>
        </row>
        <row r="181">
          <cell r="A181" t="str">
            <v>06.5014</v>
          </cell>
          <cell r="B181" t="str">
            <v>Vöôït ñöôøng daây haï theá tieát dieän daây £ 240</v>
          </cell>
          <cell r="C181" t="str">
            <v>V.trí</v>
          </cell>
          <cell r="D181">
            <v>174462</v>
          </cell>
          <cell r="E181">
            <v>143530</v>
          </cell>
        </row>
        <row r="182">
          <cell r="A182" t="str">
            <v>06.5015</v>
          </cell>
          <cell r="B182" t="str">
            <v>Vöôït ñöôøng daây haï theá tieát dieän daây &gt; 240</v>
          </cell>
          <cell r="C182" t="str">
            <v>V.trí</v>
          </cell>
          <cell r="D182">
            <v>238247</v>
          </cell>
          <cell r="E182">
            <v>226521</v>
          </cell>
        </row>
        <row r="183">
          <cell r="A183" t="str">
            <v>06.5021</v>
          </cell>
          <cell r="B183" t="str">
            <v>Vöôït ñöôøng daây 35 kV tieát dieän daây £ 50</v>
          </cell>
          <cell r="C183" t="str">
            <v>V.trí</v>
          </cell>
          <cell r="D183">
            <v>127570</v>
          </cell>
          <cell r="E183">
            <v>105596</v>
          </cell>
        </row>
        <row r="184">
          <cell r="A184" t="str">
            <v>06.5022</v>
          </cell>
          <cell r="B184" t="str">
            <v>Vöôït ñöôøng daây 35 kV tieát dieän daây £ 95</v>
          </cell>
          <cell r="C184" t="str">
            <v>V.trí</v>
          </cell>
          <cell r="D184">
            <v>159462</v>
          </cell>
          <cell r="E184">
            <v>121544</v>
          </cell>
        </row>
        <row r="185">
          <cell r="A185" t="str">
            <v>06.5023</v>
          </cell>
          <cell r="B185" t="str">
            <v>Vöôït ñöôøng daây 35 kV tieát dieän daây £ 150</v>
          </cell>
          <cell r="C185" t="str">
            <v>V.trí</v>
          </cell>
          <cell r="D185">
            <v>190093</v>
          </cell>
          <cell r="E185">
            <v>148495</v>
          </cell>
        </row>
        <row r="186">
          <cell r="A186" t="str">
            <v>06.5024</v>
          </cell>
          <cell r="B186" t="str">
            <v>Vöôït ñöôøng daây 35 kV tieát dieän daây £ 240</v>
          </cell>
          <cell r="C186" t="str">
            <v>V.trí</v>
          </cell>
          <cell r="D186">
            <v>239193</v>
          </cell>
          <cell r="E186">
            <v>166446</v>
          </cell>
        </row>
        <row r="187">
          <cell r="A187" t="str">
            <v>06.5025</v>
          </cell>
          <cell r="B187" t="str">
            <v>Vöôït ñöôøng daây 35 kV tieát dieän daây &gt; 240</v>
          </cell>
          <cell r="C187" t="str">
            <v>V.trí</v>
          </cell>
          <cell r="D187">
            <v>334870</v>
          </cell>
          <cell r="E187">
            <v>290467</v>
          </cell>
        </row>
        <row r="188">
          <cell r="A188" t="str">
            <v>06.5051</v>
          </cell>
          <cell r="B188" t="str">
            <v>Vöôït ñöôøng giao thoâng &lt; 10m tieát dieän daây £ 50</v>
          </cell>
          <cell r="C188" t="str">
            <v>V.trí</v>
          </cell>
          <cell r="D188">
            <v>159462</v>
          </cell>
          <cell r="E188">
            <v>125725</v>
          </cell>
        </row>
        <row r="189">
          <cell r="A189" t="str">
            <v>06.5052</v>
          </cell>
          <cell r="B189" t="str">
            <v>Vöôït ñöôøng giao thoâng &lt;10m tieát dieän daây £ 95</v>
          </cell>
          <cell r="C189" t="str">
            <v>V.trí</v>
          </cell>
          <cell r="D189">
            <v>221922</v>
          </cell>
          <cell r="E189">
            <v>159014</v>
          </cell>
        </row>
        <row r="190">
          <cell r="A190" t="str">
            <v>06.5053</v>
          </cell>
          <cell r="B190" t="str">
            <v>Vöôït ñöôøng giao thoâng &lt;10m tieát dieän daây £ 150</v>
          </cell>
          <cell r="C190" t="str">
            <v>V.trí</v>
          </cell>
          <cell r="D190">
            <v>284193</v>
          </cell>
          <cell r="E190">
            <v>194471</v>
          </cell>
        </row>
        <row r="191">
          <cell r="A191" t="str">
            <v>06.5054</v>
          </cell>
          <cell r="B191" t="str">
            <v>Vöôït ñöôøng giao thoâng &lt;10m tieát dieän daây £ 240</v>
          </cell>
          <cell r="C191" t="str">
            <v>V.trí</v>
          </cell>
          <cell r="D191">
            <v>350186</v>
          </cell>
          <cell r="E191">
            <v>218470</v>
          </cell>
        </row>
        <row r="192">
          <cell r="A192" t="str">
            <v>06.5055</v>
          </cell>
          <cell r="B192" t="str">
            <v>Vöôït ñöôøng giao thoâng&lt;10m tieát dieän daây &gt; 240</v>
          </cell>
          <cell r="C192" t="str">
            <v>V.trí</v>
          </cell>
          <cell r="D192">
            <v>399412</v>
          </cell>
          <cell r="E192">
            <v>345433</v>
          </cell>
        </row>
        <row r="193">
          <cell r="A193" t="str">
            <v>06.5061</v>
          </cell>
          <cell r="B193" t="str">
            <v>Vöôït ñöôøng giao thoâng &gt;10m tieát dieän daây £ 50</v>
          </cell>
          <cell r="C193" t="str">
            <v>V.trí</v>
          </cell>
          <cell r="D193">
            <v>189462</v>
          </cell>
          <cell r="E193">
            <v>143995</v>
          </cell>
        </row>
        <row r="194">
          <cell r="A194" t="str">
            <v>06.5062</v>
          </cell>
          <cell r="B194" t="str">
            <v>Vöôït ñöôøng giao thoâng &gt;10m tieát dieän daây £ 95</v>
          </cell>
          <cell r="C194" t="str">
            <v>V.trí</v>
          </cell>
          <cell r="D194">
            <v>269130</v>
          </cell>
          <cell r="E194">
            <v>190445</v>
          </cell>
        </row>
        <row r="195">
          <cell r="A195" t="str">
            <v>06.5063</v>
          </cell>
          <cell r="B195" t="str">
            <v>Vöôït ñöôøng giao thoâng &gt;10m tieát dieän daây £ 150</v>
          </cell>
          <cell r="C195" t="str">
            <v>V.trí</v>
          </cell>
          <cell r="D195">
            <v>350186</v>
          </cell>
          <cell r="E195">
            <v>233024</v>
          </cell>
        </row>
        <row r="196">
          <cell r="A196" t="str">
            <v>06.5064</v>
          </cell>
          <cell r="B196" t="str">
            <v>Vöôït ñöôøng giao thoâng &gt;10m tieát dieän daây £ 240</v>
          </cell>
          <cell r="C196" t="str">
            <v>V.trí</v>
          </cell>
          <cell r="D196">
            <v>411447</v>
          </cell>
          <cell r="E196">
            <v>261823</v>
          </cell>
        </row>
        <row r="197">
          <cell r="A197" t="str">
            <v>06.5065</v>
          </cell>
          <cell r="B197" t="str">
            <v>Vöôït ñöôøng giao thoâng &gt;10m tieát dieän daây &gt; 240</v>
          </cell>
          <cell r="C197" t="str">
            <v>V.trí</v>
          </cell>
          <cell r="D197">
            <v>568260</v>
          </cell>
          <cell r="E197">
            <v>410618</v>
          </cell>
        </row>
        <row r="198">
          <cell r="A198" t="str">
            <v>06.5071</v>
          </cell>
          <cell r="B198" t="str">
            <v>Vò trí beû goùc tieát dieän daây £ 50</v>
          </cell>
          <cell r="C198" t="str">
            <v>V.trí</v>
          </cell>
          <cell r="E198">
            <v>30697</v>
          </cell>
        </row>
        <row r="199">
          <cell r="A199" t="str">
            <v>06.5072</v>
          </cell>
          <cell r="B199" t="str">
            <v>Vò trí beû goùc tieát dieän daây £ 95</v>
          </cell>
          <cell r="C199" t="str">
            <v>V.trí</v>
          </cell>
          <cell r="E199">
            <v>61933</v>
          </cell>
        </row>
        <row r="200">
          <cell r="A200" t="str">
            <v>06.5073</v>
          </cell>
          <cell r="B200" t="str">
            <v>Vò trí beû goùc tieát dieän daây £ 150</v>
          </cell>
          <cell r="C200" t="str">
            <v>V.trí</v>
          </cell>
          <cell r="E200">
            <v>78346</v>
          </cell>
        </row>
        <row r="201">
          <cell r="A201" t="str">
            <v>06.5074</v>
          </cell>
          <cell r="B201" t="str">
            <v>Vò trí beû goùc tieát dieän daây £ 240</v>
          </cell>
          <cell r="C201" t="str">
            <v>V.trí</v>
          </cell>
          <cell r="E201">
            <v>80978</v>
          </cell>
        </row>
        <row r="202">
          <cell r="A202" t="str">
            <v>06.5075</v>
          </cell>
          <cell r="B202" t="str">
            <v>Vò trí beû goùc tieát dieän daây &gt; 240</v>
          </cell>
          <cell r="C202" t="str">
            <v>V.trí</v>
          </cell>
          <cell r="E202">
            <v>150188</v>
          </cell>
        </row>
        <row r="203">
          <cell r="A203" t="str">
            <v>06.5082</v>
          </cell>
          <cell r="B203" t="str">
            <v>Vöôït soâng £ 95</v>
          </cell>
          <cell r="C203" t="str">
            <v>V.trí</v>
          </cell>
          <cell r="E203">
            <v>261513</v>
          </cell>
        </row>
        <row r="204">
          <cell r="A204" t="str">
            <v>06.5083</v>
          </cell>
          <cell r="B204" t="str">
            <v>Vöôït soâng £ 150</v>
          </cell>
          <cell r="C204" t="str">
            <v>V.trí</v>
          </cell>
          <cell r="E204">
            <v>391728</v>
          </cell>
        </row>
        <row r="205">
          <cell r="A205" t="str">
            <v>06.5084</v>
          </cell>
          <cell r="B205" t="str">
            <v>Vöôït soâng £ 240</v>
          </cell>
          <cell r="C205" t="str">
            <v>V.trí</v>
          </cell>
          <cell r="E205">
            <v>440965</v>
          </cell>
        </row>
        <row r="206">
          <cell r="A206" t="str">
            <v>06.5085</v>
          </cell>
          <cell r="B206" t="str">
            <v>Vöôït soâng &gt; 240</v>
          </cell>
          <cell r="C206" t="str">
            <v>V.trí</v>
          </cell>
          <cell r="E206">
            <v>799869</v>
          </cell>
        </row>
        <row r="207">
          <cell r="A207" t="str">
            <v>06.6104</v>
          </cell>
          <cell r="B207" t="str">
            <v>Raûi caêng daây laáy ñoä voõng daây AC-50mm 2</v>
          </cell>
          <cell r="C207" t="str">
            <v>km</v>
          </cell>
          <cell r="D207">
            <v>227189</v>
          </cell>
          <cell r="E207">
            <v>261153</v>
          </cell>
        </row>
        <row r="208">
          <cell r="A208" t="str">
            <v>06.6105</v>
          </cell>
          <cell r="B208" t="str">
            <v>Raûi caêng daây laáy ñoä voõng daây AC-70mm 2</v>
          </cell>
          <cell r="C208" t="str">
            <v>km</v>
          </cell>
          <cell r="D208">
            <v>227189</v>
          </cell>
          <cell r="E208">
            <v>348908</v>
          </cell>
        </row>
        <row r="209">
          <cell r="A209" t="str">
            <v>06.6106</v>
          </cell>
          <cell r="B209" t="str">
            <v>Raûi caêng daây laáy ñoä voõng daây AC-95mm 2</v>
          </cell>
          <cell r="C209" t="str">
            <v>km</v>
          </cell>
          <cell r="D209">
            <v>227189</v>
          </cell>
          <cell r="E209">
            <v>475178</v>
          </cell>
        </row>
        <row r="210">
          <cell r="A210" t="str">
            <v>06.6107</v>
          </cell>
          <cell r="B210" t="str">
            <v>Raûi caêng daây laáy ñoä voõng daây AC-120mm 2</v>
          </cell>
          <cell r="C210" t="str">
            <v>km</v>
          </cell>
          <cell r="D210">
            <v>319671</v>
          </cell>
          <cell r="E210">
            <v>588862</v>
          </cell>
        </row>
        <row r="211">
          <cell r="A211" t="str">
            <v>06.6108</v>
          </cell>
          <cell r="B211" t="str">
            <v>Raûi caêng daây laáy ñoä voõng daây AC-150mm 2</v>
          </cell>
          <cell r="C211" t="str">
            <v>km</v>
          </cell>
          <cell r="D211">
            <v>319671</v>
          </cell>
          <cell r="E211">
            <v>712550</v>
          </cell>
        </row>
        <row r="212">
          <cell r="A212" t="str">
            <v>06.6109</v>
          </cell>
          <cell r="B212" t="str">
            <v>Raûi caêng daây laáy ñoä voõng daây AC-185mm 2</v>
          </cell>
          <cell r="C212" t="str">
            <v>km</v>
          </cell>
          <cell r="D212">
            <v>319671</v>
          </cell>
          <cell r="E212">
            <v>840899</v>
          </cell>
        </row>
        <row r="213">
          <cell r="A213" t="str">
            <v>06.6110</v>
          </cell>
          <cell r="B213" t="str">
            <v>Raûi caêng daây laáy ñoä voõng daây AC-240mm 2</v>
          </cell>
          <cell r="C213" t="str">
            <v>km</v>
          </cell>
          <cell r="D213">
            <v>319671</v>
          </cell>
          <cell r="E213">
            <v>924792</v>
          </cell>
        </row>
        <row r="214">
          <cell r="A214" t="str">
            <v>06.6124</v>
          </cell>
          <cell r="B214" t="str">
            <v>Raûi caêng daây laáy ñoä voõng daây A-50mm 2</v>
          </cell>
          <cell r="C214" t="str">
            <v>km</v>
          </cell>
          <cell r="D214">
            <v>227189</v>
          </cell>
          <cell r="E214">
            <v>208012</v>
          </cell>
        </row>
        <row r="215">
          <cell r="A215" t="str">
            <v>06.6125</v>
          </cell>
          <cell r="B215" t="str">
            <v>Raûi caêng daây laáy ñoä voõng daây A-70mm 2</v>
          </cell>
          <cell r="C215" t="str">
            <v>km</v>
          </cell>
          <cell r="D215">
            <v>227189</v>
          </cell>
          <cell r="E215">
            <v>279516</v>
          </cell>
        </row>
        <row r="216">
          <cell r="A216" t="str">
            <v>06.6126</v>
          </cell>
          <cell r="B216" t="str">
            <v>Raûi caêng daây laáy ñoä voõng daây A-95mm 2</v>
          </cell>
          <cell r="C216" t="str">
            <v>km</v>
          </cell>
          <cell r="D216">
            <v>227189</v>
          </cell>
          <cell r="E216">
            <v>381897</v>
          </cell>
        </row>
        <row r="217">
          <cell r="A217" t="str">
            <v>06.6133</v>
          </cell>
          <cell r="B217" t="str">
            <v>Raûi caêng daây choáng seùt tieát dieän 35mm 2</v>
          </cell>
          <cell r="C217" t="str">
            <v>km</v>
          </cell>
          <cell r="D217">
            <v>226789</v>
          </cell>
          <cell r="E217">
            <v>365484</v>
          </cell>
        </row>
        <row r="218">
          <cell r="A218" t="str">
            <v>06.6134</v>
          </cell>
          <cell r="B218" t="str">
            <v>Raûi caêng daây choáng seùt tieát dieän 50mm 2</v>
          </cell>
          <cell r="C218" t="str">
            <v>km</v>
          </cell>
          <cell r="D218">
            <v>227189</v>
          </cell>
          <cell r="E218">
            <v>409524</v>
          </cell>
        </row>
        <row r="219">
          <cell r="A219" t="str">
            <v>06.6135</v>
          </cell>
          <cell r="B219" t="str">
            <v>Raûi caêng daây choáng seùt tieát dieän 70mm 2</v>
          </cell>
          <cell r="C219" t="str">
            <v>km</v>
          </cell>
          <cell r="D219">
            <v>227189</v>
          </cell>
          <cell r="E219">
            <v>491429</v>
          </cell>
        </row>
        <row r="221">
          <cell r="A221" t="str">
            <v>02.1211</v>
          </cell>
          <cell r="B221" t="str">
            <v>Vaän chuyeån xi maêng cöï ly 100m</v>
          </cell>
          <cell r="C221" t="str">
            <v>taán</v>
          </cell>
          <cell r="E221">
            <v>71813</v>
          </cell>
        </row>
        <row r="222">
          <cell r="A222" t="str">
            <v>02.1212</v>
          </cell>
          <cell r="B222" t="str">
            <v>Vaän chuyeån xi maêng cöï ly 300m</v>
          </cell>
          <cell r="C222" t="str">
            <v>taán</v>
          </cell>
          <cell r="E222">
            <v>67545</v>
          </cell>
        </row>
        <row r="223">
          <cell r="A223" t="str">
            <v>02.1213</v>
          </cell>
          <cell r="B223" t="str">
            <v>Vaän chuyeån xi maêng cöï ly 500m</v>
          </cell>
          <cell r="C223" t="str">
            <v>taán</v>
          </cell>
          <cell r="E223">
            <v>66956</v>
          </cell>
        </row>
        <row r="224">
          <cell r="A224" t="str">
            <v>02.1214</v>
          </cell>
          <cell r="B224" t="str">
            <v>Vaän chuyeån xi maêng cöï ly &gt;500m</v>
          </cell>
          <cell r="C224" t="str">
            <v>taán</v>
          </cell>
          <cell r="E224">
            <v>66515</v>
          </cell>
        </row>
        <row r="226">
          <cell r="A226" t="str">
            <v>02.1241</v>
          </cell>
          <cell r="B226" t="str">
            <v xml:space="preserve">Vaän chuyeån ñaù </v>
          </cell>
          <cell r="C226" t="str">
            <v>m3</v>
          </cell>
          <cell r="E226">
            <v>70635</v>
          </cell>
        </row>
        <row r="227">
          <cell r="A227" t="str">
            <v>02.1242</v>
          </cell>
          <cell r="B227" t="str">
            <v xml:space="preserve">Vaän chuyeån ñaù </v>
          </cell>
          <cell r="C227" t="str">
            <v>m3</v>
          </cell>
          <cell r="E227">
            <v>67692</v>
          </cell>
        </row>
        <row r="228">
          <cell r="A228" t="str">
            <v>02.1243</v>
          </cell>
          <cell r="B228" t="str">
            <v xml:space="preserve">Vaän chuyeån ñaù </v>
          </cell>
          <cell r="C228" t="str">
            <v>m3</v>
          </cell>
          <cell r="E228">
            <v>67104</v>
          </cell>
        </row>
        <row r="229">
          <cell r="A229" t="str">
            <v>02.1244</v>
          </cell>
          <cell r="B229" t="str">
            <v xml:space="preserve">Vaän chuyeån ñaù </v>
          </cell>
          <cell r="C229" t="str">
            <v>m3</v>
          </cell>
          <cell r="E229">
            <v>66662</v>
          </cell>
        </row>
        <row r="231">
          <cell r="A231" t="str">
            <v>02.1231</v>
          </cell>
          <cell r="B231" t="str">
            <v>Vaän chuyeån caùt</v>
          </cell>
          <cell r="C231" t="str">
            <v>m3</v>
          </cell>
          <cell r="E231">
            <v>67251</v>
          </cell>
        </row>
        <row r="232">
          <cell r="A232" t="str">
            <v>02.1232</v>
          </cell>
          <cell r="B232" t="str">
            <v>Vaän chuyeån caùt</v>
          </cell>
          <cell r="C232" t="str">
            <v>m3</v>
          </cell>
          <cell r="E232">
            <v>64308</v>
          </cell>
        </row>
        <row r="233">
          <cell r="A233" t="str">
            <v>02.1233</v>
          </cell>
          <cell r="B233" t="str">
            <v>Vaän chuyeån caùt</v>
          </cell>
          <cell r="C233" t="str">
            <v>m3</v>
          </cell>
          <cell r="E233">
            <v>63719</v>
          </cell>
        </row>
        <row r="234">
          <cell r="A234" t="str">
            <v>02.1234</v>
          </cell>
          <cell r="B234" t="str">
            <v>Vaän chuyeån caùt</v>
          </cell>
          <cell r="C234" t="str">
            <v>m3</v>
          </cell>
          <cell r="E234">
            <v>62983</v>
          </cell>
        </row>
        <row r="236">
          <cell r="A236" t="str">
            <v>02.1351</v>
          </cell>
          <cell r="B236" t="str">
            <v>Vaän chuyeån coát theùp + bulon</v>
          </cell>
          <cell r="C236" t="str">
            <v>Taán</v>
          </cell>
          <cell r="E236">
            <v>110221</v>
          </cell>
        </row>
        <row r="237">
          <cell r="A237" t="str">
            <v>02.1352</v>
          </cell>
          <cell r="B237" t="str">
            <v>Vaän chuyeån coát theùp + bulon</v>
          </cell>
          <cell r="C237" t="str">
            <v>Taán</v>
          </cell>
          <cell r="E237">
            <v>103451</v>
          </cell>
        </row>
        <row r="238">
          <cell r="A238" t="str">
            <v>02.1353</v>
          </cell>
          <cell r="B238" t="str">
            <v>Vaän chuyeån coát theùp + bulon</v>
          </cell>
          <cell r="C238" t="str">
            <v>Taán</v>
          </cell>
          <cell r="E238">
            <v>102127</v>
          </cell>
        </row>
        <row r="239">
          <cell r="A239" t="str">
            <v>02.1354</v>
          </cell>
          <cell r="B239" t="str">
            <v>Vaän chuyeån coát theùp + bulon</v>
          </cell>
          <cell r="C239" t="str">
            <v>Taán</v>
          </cell>
          <cell r="E239">
            <v>93739</v>
          </cell>
        </row>
        <row r="241">
          <cell r="A241" t="str">
            <v>02.1361</v>
          </cell>
          <cell r="B241" t="str">
            <v>Vaän chuyeån coät theùp</v>
          </cell>
          <cell r="C241" t="str">
            <v>Taán</v>
          </cell>
          <cell r="E241">
            <v>100214</v>
          </cell>
        </row>
        <row r="242">
          <cell r="A242" t="str">
            <v>02.1362</v>
          </cell>
          <cell r="B242" t="str">
            <v>Vaän chuyeån coät theùp</v>
          </cell>
          <cell r="C242" t="str">
            <v>Taán</v>
          </cell>
          <cell r="E242">
            <v>94033</v>
          </cell>
        </row>
        <row r="243">
          <cell r="A243" t="str">
            <v>02.1363</v>
          </cell>
          <cell r="B243" t="str">
            <v>Vaän chuyeån coät theùp</v>
          </cell>
          <cell r="C243" t="str">
            <v>Taán</v>
          </cell>
          <cell r="E243">
            <v>92856</v>
          </cell>
        </row>
        <row r="244">
          <cell r="A244" t="str">
            <v>02.1364</v>
          </cell>
          <cell r="B244" t="str">
            <v>Vaän chuyeån coät theùp</v>
          </cell>
          <cell r="C244" t="str">
            <v>Taán</v>
          </cell>
          <cell r="E244">
            <v>91973</v>
          </cell>
        </row>
        <row r="246">
          <cell r="A246" t="str">
            <v>02.1331</v>
          </cell>
          <cell r="B246" t="str">
            <v>Vaän chuyeån vaùn khuoân</v>
          </cell>
          <cell r="C246" t="str">
            <v>m3</v>
          </cell>
          <cell r="E246">
            <v>57391</v>
          </cell>
        </row>
        <row r="247">
          <cell r="A247" t="str">
            <v>02.1332</v>
          </cell>
          <cell r="B247" t="str">
            <v>Vaän chuyeån vaùn khuoân</v>
          </cell>
          <cell r="C247" t="str">
            <v>m3</v>
          </cell>
          <cell r="E247">
            <v>55037</v>
          </cell>
        </row>
        <row r="248">
          <cell r="A248" t="str">
            <v>02.1333</v>
          </cell>
          <cell r="B248" t="str">
            <v>Vaän chuyeån vaùn khuoân</v>
          </cell>
          <cell r="C248" t="str">
            <v>m3</v>
          </cell>
          <cell r="E248">
            <v>54301</v>
          </cell>
        </row>
        <row r="249">
          <cell r="A249" t="str">
            <v>02.1334</v>
          </cell>
          <cell r="B249" t="str">
            <v>Vaän chuyeån vaùn khuoân</v>
          </cell>
          <cell r="C249" t="str">
            <v>m3</v>
          </cell>
          <cell r="E249">
            <v>53859</v>
          </cell>
        </row>
        <row r="251">
          <cell r="A251" t="str">
            <v>02.1321</v>
          </cell>
          <cell r="B251" t="str">
            <v>Vaän chuyeån nöôùc</v>
          </cell>
          <cell r="C251" t="str">
            <v>m3</v>
          </cell>
          <cell r="E251">
            <v>57833</v>
          </cell>
        </row>
        <row r="252">
          <cell r="A252" t="str">
            <v>02.1322</v>
          </cell>
          <cell r="B252" t="str">
            <v>Vaän chuyeån nöôùc</v>
          </cell>
          <cell r="C252" t="str">
            <v>m3</v>
          </cell>
          <cell r="E252">
            <v>56950</v>
          </cell>
        </row>
        <row r="253">
          <cell r="A253" t="str">
            <v>02.1323</v>
          </cell>
          <cell r="B253" t="str">
            <v>Vaän chuyeån nöôùc</v>
          </cell>
          <cell r="C253" t="str">
            <v>m3</v>
          </cell>
          <cell r="E253">
            <v>49592</v>
          </cell>
        </row>
        <row r="254">
          <cell r="A254" t="str">
            <v>02.1324</v>
          </cell>
          <cell r="B254" t="str">
            <v>Vaän chuyeån nöôùc</v>
          </cell>
          <cell r="C254" t="str">
            <v>m3</v>
          </cell>
          <cell r="E254">
            <v>48415</v>
          </cell>
        </row>
        <row r="256">
          <cell r="A256" t="str">
            <v>02.1391</v>
          </cell>
          <cell r="B256" t="str">
            <v>Vaän chuyeån coïc tre</v>
          </cell>
          <cell r="C256" t="str">
            <v>coïc</v>
          </cell>
          <cell r="E256">
            <v>17953</v>
          </cell>
        </row>
        <row r="257">
          <cell r="A257" t="str">
            <v>02.1392</v>
          </cell>
          <cell r="B257" t="str">
            <v>Vaän chuyeån coïc tre</v>
          </cell>
          <cell r="C257" t="str">
            <v>coïc</v>
          </cell>
          <cell r="E257">
            <v>16923</v>
          </cell>
        </row>
        <row r="258">
          <cell r="A258" t="str">
            <v>02.1393</v>
          </cell>
          <cell r="B258" t="str">
            <v>Vaän chuyeån coïc tre</v>
          </cell>
          <cell r="C258" t="str">
            <v>coïc</v>
          </cell>
          <cell r="E258">
            <v>16776</v>
          </cell>
        </row>
        <row r="259">
          <cell r="A259" t="str">
            <v>02.1394</v>
          </cell>
          <cell r="B259" t="str">
            <v>Vaän chuyeån coïc tre</v>
          </cell>
          <cell r="C259" t="str">
            <v>coïc</v>
          </cell>
          <cell r="E259">
            <v>16629</v>
          </cell>
        </row>
        <row r="261">
          <cell r="A261" t="str">
            <v>02.1391</v>
          </cell>
          <cell r="B261" t="str">
            <v>Vaän chuyeån coùt eùp</v>
          </cell>
          <cell r="C261" t="str">
            <v>taám</v>
          </cell>
          <cell r="E261">
            <v>17953</v>
          </cell>
        </row>
        <row r="262">
          <cell r="A262" t="str">
            <v>02.1392</v>
          </cell>
          <cell r="B262" t="str">
            <v>Vaän chuyeån coùt eùp</v>
          </cell>
          <cell r="C262" t="str">
            <v>taám</v>
          </cell>
          <cell r="E262">
            <v>16923</v>
          </cell>
        </row>
        <row r="263">
          <cell r="A263" t="str">
            <v>02.1393</v>
          </cell>
          <cell r="B263" t="str">
            <v>Vaän chuyeån coùt eùp</v>
          </cell>
          <cell r="C263" t="str">
            <v>taám</v>
          </cell>
          <cell r="E263">
            <v>16776</v>
          </cell>
        </row>
        <row r="264">
          <cell r="A264" t="str">
            <v>02.1394</v>
          </cell>
          <cell r="B264" t="str">
            <v>Vaän chuyeån coùt eùp</v>
          </cell>
          <cell r="C264" t="str">
            <v>taán</v>
          </cell>
          <cell r="E264">
            <v>16629</v>
          </cell>
        </row>
        <row r="266">
          <cell r="A266" t="str">
            <v>02.1421</v>
          </cell>
          <cell r="B266" t="str">
            <v>Vaän chuyeån phuï kieän</v>
          </cell>
          <cell r="C266" t="str">
            <v>taán</v>
          </cell>
          <cell r="E266">
            <v>99184</v>
          </cell>
        </row>
        <row r="267">
          <cell r="A267" t="str">
            <v>02.1422</v>
          </cell>
          <cell r="B267" t="str">
            <v>Vaän chuyeån phuï kieän</v>
          </cell>
          <cell r="C267" t="str">
            <v>taán</v>
          </cell>
          <cell r="E267">
            <v>93150</v>
          </cell>
        </row>
        <row r="268">
          <cell r="A268" t="str">
            <v>02.1423</v>
          </cell>
          <cell r="B268" t="str">
            <v>Vaän chuyeån phuï kieän</v>
          </cell>
          <cell r="C268" t="str">
            <v>taán</v>
          </cell>
          <cell r="E268">
            <v>91973</v>
          </cell>
        </row>
        <row r="269">
          <cell r="A269" t="str">
            <v>02.1424</v>
          </cell>
          <cell r="B269" t="str">
            <v>Vaän chuyeån phuï kieän</v>
          </cell>
          <cell r="C269" t="str">
            <v>taán</v>
          </cell>
          <cell r="E269">
            <v>90943</v>
          </cell>
        </row>
        <row r="271">
          <cell r="A271" t="str">
            <v>02.1431</v>
          </cell>
          <cell r="B271" t="str">
            <v>Vaän chuyeån söù caùc loaïi</v>
          </cell>
          <cell r="C271" t="str">
            <v>taán</v>
          </cell>
          <cell r="E271">
            <v>130234</v>
          </cell>
        </row>
        <row r="272">
          <cell r="A272" t="str">
            <v>02.1432</v>
          </cell>
          <cell r="B272" t="str">
            <v>Vaän chuyeån söù caùc loaïi</v>
          </cell>
          <cell r="C272" t="str">
            <v>taán</v>
          </cell>
          <cell r="E272">
            <v>122287</v>
          </cell>
        </row>
        <row r="273">
          <cell r="A273" t="str">
            <v>02.1433</v>
          </cell>
          <cell r="B273" t="str">
            <v>Vaän chuyeån söù caùc loaïi</v>
          </cell>
          <cell r="C273" t="str">
            <v>taán</v>
          </cell>
          <cell r="E273">
            <v>120669</v>
          </cell>
        </row>
        <row r="274">
          <cell r="A274" t="str">
            <v>02.1434</v>
          </cell>
          <cell r="B274" t="str">
            <v>Vaän chuyeån söù caùc loaïi</v>
          </cell>
          <cell r="C274" t="str">
            <v>taán</v>
          </cell>
          <cell r="E274">
            <v>119491</v>
          </cell>
        </row>
        <row r="276">
          <cell r="A276" t="str">
            <v>02.1441</v>
          </cell>
          <cell r="B276" t="str">
            <v>Vaän chuyeån söù caùc loaïi</v>
          </cell>
          <cell r="C276" t="str">
            <v>taán</v>
          </cell>
          <cell r="E276">
            <v>100214</v>
          </cell>
        </row>
        <row r="277">
          <cell r="A277" t="str">
            <v>02.1442</v>
          </cell>
          <cell r="B277" t="str">
            <v>Vaän chuyeån söù caùc loaïi</v>
          </cell>
          <cell r="C277" t="str">
            <v>taán</v>
          </cell>
          <cell r="E277">
            <v>93886</v>
          </cell>
        </row>
        <row r="278">
          <cell r="A278" t="str">
            <v>02.1443</v>
          </cell>
          <cell r="B278" t="str">
            <v>Vaän chuyeån söù caùc loaïi</v>
          </cell>
          <cell r="C278" t="str">
            <v>taán</v>
          </cell>
          <cell r="E278">
            <v>92856</v>
          </cell>
        </row>
        <row r="279">
          <cell r="A279" t="str">
            <v>02.1444</v>
          </cell>
          <cell r="B279" t="str">
            <v>Vaän chuyeån söù caùc loaïi</v>
          </cell>
          <cell r="C279" t="str">
            <v>taán</v>
          </cell>
          <cell r="E279">
            <v>91973</v>
          </cell>
        </row>
        <row r="281">
          <cell r="A281" t="str">
            <v>02.1451</v>
          </cell>
          <cell r="B281" t="str">
            <v>Vaän chuyeån caáu kieän beâ toâng ñuùc saün caùc loaïi</v>
          </cell>
          <cell r="C281" t="str">
            <v>taán</v>
          </cell>
          <cell r="E281">
            <v>90207</v>
          </cell>
        </row>
        <row r="282">
          <cell r="A282" t="str">
            <v>02.1452</v>
          </cell>
          <cell r="B282" t="str">
            <v>Vaän chuyeån caáu kieän beâ toâng ñuùc saün caùc loaïi</v>
          </cell>
          <cell r="C282" t="str">
            <v>taán</v>
          </cell>
          <cell r="E282">
            <v>84615</v>
          </cell>
        </row>
        <row r="283">
          <cell r="A283" t="str">
            <v>02.1453</v>
          </cell>
          <cell r="B283" t="str">
            <v>Vaän chuyeån caáu kieän beâ toâng ñuùc saün caùc loaïi</v>
          </cell>
          <cell r="C283" t="str">
            <v>taán</v>
          </cell>
          <cell r="E283">
            <v>83585</v>
          </cell>
        </row>
        <row r="284">
          <cell r="A284" t="str">
            <v>02.1454</v>
          </cell>
          <cell r="B284" t="str">
            <v>Vaän chuyeån caáu kieän beâ toâng ñuùc saün caùc loaïi</v>
          </cell>
          <cell r="C284" t="str">
            <v>taán</v>
          </cell>
          <cell r="E284">
            <v>82702</v>
          </cell>
        </row>
        <row r="286">
          <cell r="A286" t="str">
            <v>02.1461</v>
          </cell>
          <cell r="B286" t="str">
            <v>Vaän chuyeån coät  BTLT</v>
          </cell>
          <cell r="C286" t="str">
            <v>taán</v>
          </cell>
          <cell r="E286">
            <v>140241</v>
          </cell>
        </row>
        <row r="287">
          <cell r="A287" t="str">
            <v>02.1462</v>
          </cell>
          <cell r="B287" t="str">
            <v>Vaän chuyeån coät  BTLT</v>
          </cell>
          <cell r="C287" t="str">
            <v>taán</v>
          </cell>
          <cell r="E287">
            <v>131705</v>
          </cell>
        </row>
        <row r="288">
          <cell r="A288" t="str">
            <v>02.1463</v>
          </cell>
          <cell r="B288" t="str">
            <v>Vaän chuyeån coät  BTLT</v>
          </cell>
          <cell r="C288" t="str">
            <v>taán</v>
          </cell>
          <cell r="E288">
            <v>129940</v>
          </cell>
        </row>
        <row r="289">
          <cell r="A289" t="str">
            <v>02.1464</v>
          </cell>
          <cell r="B289" t="str">
            <v>Vaän chuyeån coät  BTLT</v>
          </cell>
          <cell r="C289" t="str">
            <v>taán</v>
          </cell>
          <cell r="E289">
            <v>128762</v>
          </cell>
        </row>
        <row r="291">
          <cell r="A291" t="str">
            <v>02.1481</v>
          </cell>
          <cell r="B291" t="str">
            <v>Vaän chuyeån DCTC</v>
          </cell>
          <cell r="C291" t="str">
            <v>Taán</v>
          </cell>
          <cell r="E291">
            <v>91090</v>
          </cell>
        </row>
        <row r="292">
          <cell r="A292" t="str">
            <v>02.1482</v>
          </cell>
          <cell r="B292" t="str">
            <v>Vaän chuyeån DCTC</v>
          </cell>
          <cell r="C292" t="str">
            <v>Taán</v>
          </cell>
          <cell r="E292">
            <v>84615</v>
          </cell>
        </row>
        <row r="293">
          <cell r="A293" t="str">
            <v>02.1483</v>
          </cell>
          <cell r="B293" t="str">
            <v>Vaän chuyeån DCTC</v>
          </cell>
          <cell r="C293" t="str">
            <v>Taán</v>
          </cell>
          <cell r="E293">
            <v>83585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refreshError="1"/>
      <sheetData sheetId="58" refreshError="1"/>
      <sheetData sheetId="59" refreshError="1"/>
      <sheetData sheetId="60" refreshError="1"/>
      <sheetData sheetId="6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T5"/>
      <sheetName val="2019_t5"/>
      <sheetName val="SS"/>
      <sheetName val="ss 2019 2020"/>
    </sheetNames>
    <definedNames>
      <definedName name="DSTD_Clear" refersTo="#REF!"/>
      <definedName name="HHUHOI" refersTo="#REF!"/>
    </defined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67"/>
      <sheetName val="XL4Poppy"/>
      <sheetName val="T.GIANG"/>
      <sheetName val="TTDZ22"/>
      <sheetName val="THCT"/>
      <sheetName val="THDZ0,4"/>
      <sheetName val="TH DZ35"/>
      <sheetName val="THTram"/>
      <sheetName val="DG vat tu"/>
      <sheetName val="Chung"/>
      <sheetName val="Sheet1"/>
      <sheetName val="HG"/>
      <sheetName val="Weather"/>
      <sheetName val="Nghỉ lễ"/>
      <sheetName val="Sheet2"/>
      <sheetName val="6호기"/>
      <sheetName val="NHAP DU LIEU"/>
      <sheetName val="UP"/>
      <sheetName val="T.So_chung"/>
      <sheetName val="INDOICHIEU"/>
      <sheetName val="149-2"/>
      <sheetName val="HE SO"/>
      <sheetName val="Main"/>
      <sheetName val="khung ten TD"/>
      <sheetName val="ChiTietDZ"/>
      <sheetName val="VuaBT"/>
      <sheetName val="#REF"/>
      <sheetName val="ESTI."/>
      <sheetName val="DI-ESTI"/>
      <sheetName val="M_67"/>
      <sheetName val="T_GIANG"/>
      <sheetName val="TH_DZ35"/>
      <sheetName val="DG_vat_tu"/>
      <sheetName val="M_672"/>
      <sheetName val="T_GIANG2"/>
      <sheetName val="TH_DZ352"/>
      <sheetName val="DG_vat_tu2"/>
      <sheetName val="M_671"/>
      <sheetName val="T_GIANG1"/>
      <sheetName val="TH_DZ351"/>
      <sheetName val="DG_vat_tu1"/>
      <sheetName val="GVT"/>
      <sheetName val="Gia VL"/>
      <sheetName val="4.TMDT"/>
      <sheetName val="Help"/>
      <sheetName val="chi tiet TB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atb+ng¨n lé"/>
      <sheetName val="L¾p ®Æt TB+ng¨n lé"/>
      <sheetName val="TNghiªm TB +ng¨ lé"/>
      <sheetName val="TB-VL-TTin"/>
      <sheetName val="L¾p ®Æt TB-VL-TTin"/>
      <sheetName val="TNghiªm TT"/>
      <sheetName val="VËt liÖu"/>
      <sheetName val="Lap ®at ®iÖn"/>
      <sheetName val="TNghiÖm VL"/>
      <sheetName val="tt-xd"/>
      <sheetName val="tt-ng¨n lé"/>
      <sheetName val="th ng¨n lé"/>
      <sheetName val="mong ng¨n lé"/>
      <sheetName val="mong"/>
      <sheetName val="tt-35"/>
      <sheetName val="th-tt-35"/>
      <sheetName val="ttcap22"/>
      <sheetName val="cap22"/>
      <sheetName val="KSTK"/>
      <sheetName val="KS(TKKT)"/>
      <sheetName val="KS(BCKT)"/>
      <sheetName val="TH-TB"/>
      <sheetName val="TH-DK"/>
      <sheetName val="th-xd "/>
      <sheetName val="tien luong"/>
      <sheetName val="dt-xd"/>
      <sheetName val="PACS"/>
      <sheetName val="PACS (2)"/>
      <sheetName val="PACS (3)"/>
      <sheetName val="PACS (4)"/>
      <sheetName val="th-110"/>
      <sheetName val="Sheet1"/>
      <sheetName val="Sheet2"/>
      <sheetName val="TNHC"/>
      <sheetName val="XL4Poppy"/>
      <sheetName val="M 6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ieu 1"/>
      <sheetName val="bieu 2"/>
      <sheetName val="bieu 02.1"/>
      <sheetName val="bieu 02.2"/>
      <sheetName val="bieu 3"/>
      <sheetName val="biêu 03.1"/>
      <sheetName val="03.2 Lương chi nguồn TP 2026"/>
      <sheetName val="03.3 Lương bs"/>
      <sheetName val="03.4. Truyền thông"/>
      <sheetName val="bieu 4"/>
    </sheetNames>
    <sheetDataSet>
      <sheetData sheetId="0"/>
      <sheetData sheetId="1"/>
      <sheetData sheetId="2">
        <row r="7">
          <cell r="H7">
            <v>69186960</v>
          </cell>
          <cell r="I7">
            <v>78920280</v>
          </cell>
        </row>
        <row r="11">
          <cell r="I11">
            <v>99900</v>
          </cell>
        </row>
        <row r="15">
          <cell r="H15">
            <v>150135300</v>
          </cell>
          <cell r="I15">
            <v>175532400</v>
          </cell>
        </row>
        <row r="19">
          <cell r="H19">
            <v>39801900</v>
          </cell>
          <cell r="I19">
            <v>44838920</v>
          </cell>
        </row>
        <row r="23">
          <cell r="H23">
            <v>875950</v>
          </cell>
          <cell r="I23">
            <v>608500</v>
          </cell>
        </row>
      </sheetData>
      <sheetData sheetId="3">
        <row r="24">
          <cell r="C24">
            <v>64929480000</v>
          </cell>
          <cell r="E24">
            <v>3427620000</v>
          </cell>
          <cell r="G24">
            <v>829860000</v>
          </cell>
          <cell r="I24">
            <v>142642000000</v>
          </cell>
          <cell r="K24">
            <v>7286700000</v>
          </cell>
          <cell r="M24">
            <v>206600000</v>
          </cell>
          <cell r="O24">
            <v>37256400000</v>
          </cell>
          <cell r="Q24">
            <v>2530500000</v>
          </cell>
          <cell r="S24">
            <v>15000000</v>
          </cell>
          <cell r="U24">
            <v>842400000</v>
          </cell>
          <cell r="W24">
            <v>33550000</v>
          </cell>
        </row>
      </sheetData>
      <sheetData sheetId="4">
        <row r="23">
          <cell r="C23">
            <v>71780280000</v>
          </cell>
          <cell r="E23">
            <v>5610000000</v>
          </cell>
          <cell r="G23">
            <v>1530000000</v>
          </cell>
          <cell r="I23">
            <v>92850000</v>
          </cell>
          <cell r="K23">
            <v>7050000</v>
          </cell>
          <cell r="M23">
            <v>164672000000</v>
          </cell>
          <cell r="O23">
            <v>10560000000</v>
          </cell>
          <cell r="Q23">
            <v>300400000</v>
          </cell>
          <cell r="S23">
            <v>40979700000</v>
          </cell>
          <cell r="U23">
            <v>3828050000</v>
          </cell>
          <cell r="W23">
            <v>31170000</v>
          </cell>
          <cell r="Y23">
            <v>559000000</v>
          </cell>
          <cell r="AA23">
            <v>49500000</v>
          </cell>
        </row>
      </sheetData>
      <sheetData sheetId="5"/>
      <sheetData sheetId="6">
        <row r="9">
          <cell r="D9">
            <v>9253886.5247999988</v>
          </cell>
        </row>
        <row r="10">
          <cell r="D10">
            <v>1097457.1753846153</v>
          </cell>
        </row>
        <row r="11">
          <cell r="D11">
            <v>2000000</v>
          </cell>
        </row>
        <row r="12">
          <cell r="D12">
            <v>24148656.399999999</v>
          </cell>
        </row>
        <row r="165">
          <cell r="D165">
            <v>23089799.899815388</v>
          </cell>
        </row>
        <row r="171">
          <cell r="D171">
            <v>3410200</v>
          </cell>
        </row>
      </sheetData>
      <sheetData sheetId="7">
        <row r="76">
          <cell r="P76">
            <v>9253886524.7999992</v>
          </cell>
        </row>
      </sheetData>
      <sheetData sheetId="8">
        <row r="20">
          <cell r="O20">
            <v>1097457175.3846154</v>
          </cell>
        </row>
      </sheetData>
      <sheetData sheetId="9">
        <row r="8">
          <cell r="D8">
            <v>3410200000</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1"/>
  <sheetViews>
    <sheetView topLeftCell="A10" zoomScale="80" zoomScaleNormal="80" zoomScalePageLayoutView="70" workbookViewId="0">
      <selection activeCell="K10" sqref="A1:XFD1048576"/>
    </sheetView>
  </sheetViews>
  <sheetFormatPr defaultColWidth="6.69921875" defaultRowHeight="18.75" x14ac:dyDescent="0.3"/>
  <cols>
    <col min="1" max="1" width="5.69921875" style="818" customWidth="1"/>
    <col min="2" max="2" width="31.296875" style="818" customWidth="1"/>
    <col min="3" max="3" width="17.5" style="818" customWidth="1"/>
    <col min="4" max="6" width="16.19921875" style="818" customWidth="1"/>
    <col min="7" max="7" width="11.8984375" style="818" customWidth="1"/>
    <col min="8" max="258" width="6.69921875" style="818"/>
    <col min="259" max="259" width="5.69921875" style="818" customWidth="1"/>
    <col min="260" max="260" width="31.19921875" style="818" customWidth="1"/>
    <col min="261" max="261" width="16.19921875" style="818" customWidth="1"/>
    <col min="262" max="262" width="10.3984375" style="818" customWidth="1"/>
    <col min="263" max="514" width="6.69921875" style="818"/>
    <col min="515" max="515" width="5.69921875" style="818" customWidth="1"/>
    <col min="516" max="516" width="31.19921875" style="818" customWidth="1"/>
    <col min="517" max="517" width="16.19921875" style="818" customWidth="1"/>
    <col min="518" max="518" width="10.3984375" style="818" customWidth="1"/>
    <col min="519" max="770" width="6.69921875" style="818"/>
    <col min="771" max="771" width="5.69921875" style="818" customWidth="1"/>
    <col min="772" max="772" width="31.19921875" style="818" customWidth="1"/>
    <col min="773" max="773" width="16.19921875" style="818" customWidth="1"/>
    <col min="774" max="774" width="10.3984375" style="818" customWidth="1"/>
    <col min="775" max="1026" width="6.69921875" style="818"/>
    <col min="1027" max="1027" width="5.69921875" style="818" customWidth="1"/>
    <col min="1028" max="1028" width="31.19921875" style="818" customWidth="1"/>
    <col min="1029" max="1029" width="16.19921875" style="818" customWidth="1"/>
    <col min="1030" max="1030" width="10.3984375" style="818" customWidth="1"/>
    <col min="1031" max="1282" width="6.69921875" style="818"/>
    <col min="1283" max="1283" width="5.69921875" style="818" customWidth="1"/>
    <col min="1284" max="1284" width="31.19921875" style="818" customWidth="1"/>
    <col min="1285" max="1285" width="16.19921875" style="818" customWidth="1"/>
    <col min="1286" max="1286" width="10.3984375" style="818" customWidth="1"/>
    <col min="1287" max="1538" width="6.69921875" style="818"/>
    <col min="1539" max="1539" width="5.69921875" style="818" customWidth="1"/>
    <col min="1540" max="1540" width="31.19921875" style="818" customWidth="1"/>
    <col min="1541" max="1541" width="16.19921875" style="818" customWidth="1"/>
    <col min="1542" max="1542" width="10.3984375" style="818" customWidth="1"/>
    <col min="1543" max="1794" width="6.69921875" style="818"/>
    <col min="1795" max="1795" width="5.69921875" style="818" customWidth="1"/>
    <col min="1796" max="1796" width="31.19921875" style="818" customWidth="1"/>
    <col min="1797" max="1797" width="16.19921875" style="818" customWidth="1"/>
    <col min="1798" max="1798" width="10.3984375" style="818" customWidth="1"/>
    <col min="1799" max="2050" width="6.69921875" style="818"/>
    <col min="2051" max="2051" width="5.69921875" style="818" customWidth="1"/>
    <col min="2052" max="2052" width="31.19921875" style="818" customWidth="1"/>
    <col min="2053" max="2053" width="16.19921875" style="818" customWidth="1"/>
    <col min="2054" max="2054" width="10.3984375" style="818" customWidth="1"/>
    <col min="2055" max="2306" width="6.69921875" style="818"/>
    <col min="2307" max="2307" width="5.69921875" style="818" customWidth="1"/>
    <col min="2308" max="2308" width="31.19921875" style="818" customWidth="1"/>
    <col min="2309" max="2309" width="16.19921875" style="818" customWidth="1"/>
    <col min="2310" max="2310" width="10.3984375" style="818" customWidth="1"/>
    <col min="2311" max="2562" width="6.69921875" style="818"/>
    <col min="2563" max="2563" width="5.69921875" style="818" customWidth="1"/>
    <col min="2564" max="2564" width="31.19921875" style="818" customWidth="1"/>
    <col min="2565" max="2565" width="16.19921875" style="818" customWidth="1"/>
    <col min="2566" max="2566" width="10.3984375" style="818" customWidth="1"/>
    <col min="2567" max="2818" width="6.69921875" style="818"/>
    <col min="2819" max="2819" width="5.69921875" style="818" customWidth="1"/>
    <col min="2820" max="2820" width="31.19921875" style="818" customWidth="1"/>
    <col min="2821" max="2821" width="16.19921875" style="818" customWidth="1"/>
    <col min="2822" max="2822" width="10.3984375" style="818" customWidth="1"/>
    <col min="2823" max="3074" width="6.69921875" style="818"/>
    <col min="3075" max="3075" width="5.69921875" style="818" customWidth="1"/>
    <col min="3076" max="3076" width="31.19921875" style="818" customWidth="1"/>
    <col min="3077" max="3077" width="16.19921875" style="818" customWidth="1"/>
    <col min="3078" max="3078" width="10.3984375" style="818" customWidth="1"/>
    <col min="3079" max="3330" width="6.69921875" style="818"/>
    <col min="3331" max="3331" width="5.69921875" style="818" customWidth="1"/>
    <col min="3332" max="3332" width="31.19921875" style="818" customWidth="1"/>
    <col min="3333" max="3333" width="16.19921875" style="818" customWidth="1"/>
    <col min="3334" max="3334" width="10.3984375" style="818" customWidth="1"/>
    <col min="3335" max="3586" width="6.69921875" style="818"/>
    <col min="3587" max="3587" width="5.69921875" style="818" customWidth="1"/>
    <col min="3588" max="3588" width="31.19921875" style="818" customWidth="1"/>
    <col min="3589" max="3589" width="16.19921875" style="818" customWidth="1"/>
    <col min="3590" max="3590" width="10.3984375" style="818" customWidth="1"/>
    <col min="3591" max="3842" width="6.69921875" style="818"/>
    <col min="3843" max="3843" width="5.69921875" style="818" customWidth="1"/>
    <col min="3844" max="3844" width="31.19921875" style="818" customWidth="1"/>
    <col min="3845" max="3845" width="16.19921875" style="818" customWidth="1"/>
    <col min="3846" max="3846" width="10.3984375" style="818" customWidth="1"/>
    <col min="3847" max="4098" width="6.69921875" style="818"/>
    <col min="4099" max="4099" width="5.69921875" style="818" customWidth="1"/>
    <col min="4100" max="4100" width="31.19921875" style="818" customWidth="1"/>
    <col min="4101" max="4101" width="16.19921875" style="818" customWidth="1"/>
    <col min="4102" max="4102" width="10.3984375" style="818" customWidth="1"/>
    <col min="4103" max="4354" width="6.69921875" style="818"/>
    <col min="4355" max="4355" width="5.69921875" style="818" customWidth="1"/>
    <col min="4356" max="4356" width="31.19921875" style="818" customWidth="1"/>
    <col min="4357" max="4357" width="16.19921875" style="818" customWidth="1"/>
    <col min="4358" max="4358" width="10.3984375" style="818" customWidth="1"/>
    <col min="4359" max="4610" width="6.69921875" style="818"/>
    <col min="4611" max="4611" width="5.69921875" style="818" customWidth="1"/>
    <col min="4612" max="4612" width="31.19921875" style="818" customWidth="1"/>
    <col min="4613" max="4613" width="16.19921875" style="818" customWidth="1"/>
    <col min="4614" max="4614" width="10.3984375" style="818" customWidth="1"/>
    <col min="4615" max="4866" width="6.69921875" style="818"/>
    <col min="4867" max="4867" width="5.69921875" style="818" customWidth="1"/>
    <col min="4868" max="4868" width="31.19921875" style="818" customWidth="1"/>
    <col min="4869" max="4869" width="16.19921875" style="818" customWidth="1"/>
    <col min="4870" max="4870" width="10.3984375" style="818" customWidth="1"/>
    <col min="4871" max="5122" width="6.69921875" style="818"/>
    <col min="5123" max="5123" width="5.69921875" style="818" customWidth="1"/>
    <col min="5124" max="5124" width="31.19921875" style="818" customWidth="1"/>
    <col min="5125" max="5125" width="16.19921875" style="818" customWidth="1"/>
    <col min="5126" max="5126" width="10.3984375" style="818" customWidth="1"/>
    <col min="5127" max="5378" width="6.69921875" style="818"/>
    <col min="5379" max="5379" width="5.69921875" style="818" customWidth="1"/>
    <col min="5380" max="5380" width="31.19921875" style="818" customWidth="1"/>
    <col min="5381" max="5381" width="16.19921875" style="818" customWidth="1"/>
    <col min="5382" max="5382" width="10.3984375" style="818" customWidth="1"/>
    <col min="5383" max="5634" width="6.69921875" style="818"/>
    <col min="5635" max="5635" width="5.69921875" style="818" customWidth="1"/>
    <col min="5636" max="5636" width="31.19921875" style="818" customWidth="1"/>
    <col min="5637" max="5637" width="16.19921875" style="818" customWidth="1"/>
    <col min="5638" max="5638" width="10.3984375" style="818" customWidth="1"/>
    <col min="5639" max="5890" width="6.69921875" style="818"/>
    <col min="5891" max="5891" width="5.69921875" style="818" customWidth="1"/>
    <col min="5892" max="5892" width="31.19921875" style="818" customWidth="1"/>
    <col min="5893" max="5893" width="16.19921875" style="818" customWidth="1"/>
    <col min="5894" max="5894" width="10.3984375" style="818" customWidth="1"/>
    <col min="5895" max="6146" width="6.69921875" style="818"/>
    <col min="6147" max="6147" width="5.69921875" style="818" customWidth="1"/>
    <col min="6148" max="6148" width="31.19921875" style="818" customWidth="1"/>
    <col min="6149" max="6149" width="16.19921875" style="818" customWidth="1"/>
    <col min="6150" max="6150" width="10.3984375" style="818" customWidth="1"/>
    <col min="6151" max="6402" width="6.69921875" style="818"/>
    <col min="6403" max="6403" width="5.69921875" style="818" customWidth="1"/>
    <col min="6404" max="6404" width="31.19921875" style="818" customWidth="1"/>
    <col min="6405" max="6405" width="16.19921875" style="818" customWidth="1"/>
    <col min="6406" max="6406" width="10.3984375" style="818" customWidth="1"/>
    <col min="6407" max="6658" width="6.69921875" style="818"/>
    <col min="6659" max="6659" width="5.69921875" style="818" customWidth="1"/>
    <col min="6660" max="6660" width="31.19921875" style="818" customWidth="1"/>
    <col min="6661" max="6661" width="16.19921875" style="818" customWidth="1"/>
    <col min="6662" max="6662" width="10.3984375" style="818" customWidth="1"/>
    <col min="6663" max="6914" width="6.69921875" style="818"/>
    <col min="6915" max="6915" width="5.69921875" style="818" customWidth="1"/>
    <col min="6916" max="6916" width="31.19921875" style="818" customWidth="1"/>
    <col min="6917" max="6917" width="16.19921875" style="818" customWidth="1"/>
    <col min="6918" max="6918" width="10.3984375" style="818" customWidth="1"/>
    <col min="6919" max="7170" width="6.69921875" style="818"/>
    <col min="7171" max="7171" width="5.69921875" style="818" customWidth="1"/>
    <col min="7172" max="7172" width="31.19921875" style="818" customWidth="1"/>
    <col min="7173" max="7173" width="16.19921875" style="818" customWidth="1"/>
    <col min="7174" max="7174" width="10.3984375" style="818" customWidth="1"/>
    <col min="7175" max="7426" width="6.69921875" style="818"/>
    <col min="7427" max="7427" width="5.69921875" style="818" customWidth="1"/>
    <col min="7428" max="7428" width="31.19921875" style="818" customWidth="1"/>
    <col min="7429" max="7429" width="16.19921875" style="818" customWidth="1"/>
    <col min="7430" max="7430" width="10.3984375" style="818" customWidth="1"/>
    <col min="7431" max="7682" width="6.69921875" style="818"/>
    <col min="7683" max="7683" width="5.69921875" style="818" customWidth="1"/>
    <col min="7684" max="7684" width="31.19921875" style="818" customWidth="1"/>
    <col min="7685" max="7685" width="16.19921875" style="818" customWidth="1"/>
    <col min="7686" max="7686" width="10.3984375" style="818" customWidth="1"/>
    <col min="7687" max="7938" width="6.69921875" style="818"/>
    <col min="7939" max="7939" width="5.69921875" style="818" customWidth="1"/>
    <col min="7940" max="7940" width="31.19921875" style="818" customWidth="1"/>
    <col min="7941" max="7941" width="16.19921875" style="818" customWidth="1"/>
    <col min="7942" max="7942" width="10.3984375" style="818" customWidth="1"/>
    <col min="7943" max="8194" width="6.69921875" style="818"/>
    <col min="8195" max="8195" width="5.69921875" style="818" customWidth="1"/>
    <col min="8196" max="8196" width="31.19921875" style="818" customWidth="1"/>
    <col min="8197" max="8197" width="16.19921875" style="818" customWidth="1"/>
    <col min="8198" max="8198" width="10.3984375" style="818" customWidth="1"/>
    <col min="8199" max="8450" width="6.69921875" style="818"/>
    <col min="8451" max="8451" width="5.69921875" style="818" customWidth="1"/>
    <col min="8452" max="8452" width="31.19921875" style="818" customWidth="1"/>
    <col min="8453" max="8453" width="16.19921875" style="818" customWidth="1"/>
    <col min="8454" max="8454" width="10.3984375" style="818" customWidth="1"/>
    <col min="8455" max="8706" width="6.69921875" style="818"/>
    <col min="8707" max="8707" width="5.69921875" style="818" customWidth="1"/>
    <col min="8708" max="8708" width="31.19921875" style="818" customWidth="1"/>
    <col min="8709" max="8709" width="16.19921875" style="818" customWidth="1"/>
    <col min="8710" max="8710" width="10.3984375" style="818" customWidth="1"/>
    <col min="8711" max="8962" width="6.69921875" style="818"/>
    <col min="8963" max="8963" width="5.69921875" style="818" customWidth="1"/>
    <col min="8964" max="8964" width="31.19921875" style="818" customWidth="1"/>
    <col min="8965" max="8965" width="16.19921875" style="818" customWidth="1"/>
    <col min="8966" max="8966" width="10.3984375" style="818" customWidth="1"/>
    <col min="8967" max="9218" width="6.69921875" style="818"/>
    <col min="9219" max="9219" width="5.69921875" style="818" customWidth="1"/>
    <col min="9220" max="9220" width="31.19921875" style="818" customWidth="1"/>
    <col min="9221" max="9221" width="16.19921875" style="818" customWidth="1"/>
    <col min="9222" max="9222" width="10.3984375" style="818" customWidth="1"/>
    <col min="9223" max="9474" width="6.69921875" style="818"/>
    <col min="9475" max="9475" width="5.69921875" style="818" customWidth="1"/>
    <col min="9476" max="9476" width="31.19921875" style="818" customWidth="1"/>
    <col min="9477" max="9477" width="16.19921875" style="818" customWidth="1"/>
    <col min="9478" max="9478" width="10.3984375" style="818" customWidth="1"/>
    <col min="9479" max="9730" width="6.69921875" style="818"/>
    <col min="9731" max="9731" width="5.69921875" style="818" customWidth="1"/>
    <col min="9732" max="9732" width="31.19921875" style="818" customWidth="1"/>
    <col min="9733" max="9733" width="16.19921875" style="818" customWidth="1"/>
    <col min="9734" max="9734" width="10.3984375" style="818" customWidth="1"/>
    <col min="9735" max="9986" width="6.69921875" style="818"/>
    <col min="9987" max="9987" width="5.69921875" style="818" customWidth="1"/>
    <col min="9988" max="9988" width="31.19921875" style="818" customWidth="1"/>
    <col min="9989" max="9989" width="16.19921875" style="818" customWidth="1"/>
    <col min="9990" max="9990" width="10.3984375" style="818" customWidth="1"/>
    <col min="9991" max="10242" width="6.69921875" style="818"/>
    <col min="10243" max="10243" width="5.69921875" style="818" customWidth="1"/>
    <col min="10244" max="10244" width="31.19921875" style="818" customWidth="1"/>
    <col min="10245" max="10245" width="16.19921875" style="818" customWidth="1"/>
    <col min="10246" max="10246" width="10.3984375" style="818" customWidth="1"/>
    <col min="10247" max="10498" width="6.69921875" style="818"/>
    <col min="10499" max="10499" width="5.69921875" style="818" customWidth="1"/>
    <col min="10500" max="10500" width="31.19921875" style="818" customWidth="1"/>
    <col min="10501" max="10501" width="16.19921875" style="818" customWidth="1"/>
    <col min="10502" max="10502" width="10.3984375" style="818" customWidth="1"/>
    <col min="10503" max="10754" width="6.69921875" style="818"/>
    <col min="10755" max="10755" width="5.69921875" style="818" customWidth="1"/>
    <col min="10756" max="10756" width="31.19921875" style="818" customWidth="1"/>
    <col min="10757" max="10757" width="16.19921875" style="818" customWidth="1"/>
    <col min="10758" max="10758" width="10.3984375" style="818" customWidth="1"/>
    <col min="10759" max="11010" width="6.69921875" style="818"/>
    <col min="11011" max="11011" width="5.69921875" style="818" customWidth="1"/>
    <col min="11012" max="11012" width="31.19921875" style="818" customWidth="1"/>
    <col min="11013" max="11013" width="16.19921875" style="818" customWidth="1"/>
    <col min="11014" max="11014" width="10.3984375" style="818" customWidth="1"/>
    <col min="11015" max="11266" width="6.69921875" style="818"/>
    <col min="11267" max="11267" width="5.69921875" style="818" customWidth="1"/>
    <col min="11268" max="11268" width="31.19921875" style="818" customWidth="1"/>
    <col min="11269" max="11269" width="16.19921875" style="818" customWidth="1"/>
    <col min="11270" max="11270" width="10.3984375" style="818" customWidth="1"/>
    <col min="11271" max="11522" width="6.69921875" style="818"/>
    <col min="11523" max="11523" width="5.69921875" style="818" customWidth="1"/>
    <col min="11524" max="11524" width="31.19921875" style="818" customWidth="1"/>
    <col min="11525" max="11525" width="16.19921875" style="818" customWidth="1"/>
    <col min="11526" max="11526" width="10.3984375" style="818" customWidth="1"/>
    <col min="11527" max="11778" width="6.69921875" style="818"/>
    <col min="11779" max="11779" width="5.69921875" style="818" customWidth="1"/>
    <col min="11780" max="11780" width="31.19921875" style="818" customWidth="1"/>
    <col min="11781" max="11781" width="16.19921875" style="818" customWidth="1"/>
    <col min="11782" max="11782" width="10.3984375" style="818" customWidth="1"/>
    <col min="11783" max="12034" width="6.69921875" style="818"/>
    <col min="12035" max="12035" width="5.69921875" style="818" customWidth="1"/>
    <col min="12036" max="12036" width="31.19921875" style="818" customWidth="1"/>
    <col min="12037" max="12037" width="16.19921875" style="818" customWidth="1"/>
    <col min="12038" max="12038" width="10.3984375" style="818" customWidth="1"/>
    <col min="12039" max="12290" width="6.69921875" style="818"/>
    <col min="12291" max="12291" width="5.69921875" style="818" customWidth="1"/>
    <col min="12292" max="12292" width="31.19921875" style="818" customWidth="1"/>
    <col min="12293" max="12293" width="16.19921875" style="818" customWidth="1"/>
    <col min="12294" max="12294" width="10.3984375" style="818" customWidth="1"/>
    <col min="12295" max="12546" width="6.69921875" style="818"/>
    <col min="12547" max="12547" width="5.69921875" style="818" customWidth="1"/>
    <col min="12548" max="12548" width="31.19921875" style="818" customWidth="1"/>
    <col min="12549" max="12549" width="16.19921875" style="818" customWidth="1"/>
    <col min="12550" max="12550" width="10.3984375" style="818" customWidth="1"/>
    <col min="12551" max="12802" width="6.69921875" style="818"/>
    <col min="12803" max="12803" width="5.69921875" style="818" customWidth="1"/>
    <col min="12804" max="12804" width="31.19921875" style="818" customWidth="1"/>
    <col min="12805" max="12805" width="16.19921875" style="818" customWidth="1"/>
    <col min="12806" max="12806" width="10.3984375" style="818" customWidth="1"/>
    <col min="12807" max="13058" width="6.69921875" style="818"/>
    <col min="13059" max="13059" width="5.69921875" style="818" customWidth="1"/>
    <col min="13060" max="13060" width="31.19921875" style="818" customWidth="1"/>
    <col min="13061" max="13061" width="16.19921875" style="818" customWidth="1"/>
    <col min="13062" max="13062" width="10.3984375" style="818" customWidth="1"/>
    <col min="13063" max="13314" width="6.69921875" style="818"/>
    <col min="13315" max="13315" width="5.69921875" style="818" customWidth="1"/>
    <col min="13316" max="13316" width="31.19921875" style="818" customWidth="1"/>
    <col min="13317" max="13317" width="16.19921875" style="818" customWidth="1"/>
    <col min="13318" max="13318" width="10.3984375" style="818" customWidth="1"/>
    <col min="13319" max="13570" width="6.69921875" style="818"/>
    <col min="13571" max="13571" width="5.69921875" style="818" customWidth="1"/>
    <col min="13572" max="13572" width="31.19921875" style="818" customWidth="1"/>
    <col min="13573" max="13573" width="16.19921875" style="818" customWidth="1"/>
    <col min="13574" max="13574" width="10.3984375" style="818" customWidth="1"/>
    <col min="13575" max="13826" width="6.69921875" style="818"/>
    <col min="13827" max="13827" width="5.69921875" style="818" customWidth="1"/>
    <col min="13828" max="13828" width="31.19921875" style="818" customWidth="1"/>
    <col min="13829" max="13829" width="16.19921875" style="818" customWidth="1"/>
    <col min="13830" max="13830" width="10.3984375" style="818" customWidth="1"/>
    <col min="13831" max="14082" width="6.69921875" style="818"/>
    <col min="14083" max="14083" width="5.69921875" style="818" customWidth="1"/>
    <col min="14084" max="14084" width="31.19921875" style="818" customWidth="1"/>
    <col min="14085" max="14085" width="16.19921875" style="818" customWidth="1"/>
    <col min="14086" max="14086" width="10.3984375" style="818" customWidth="1"/>
    <col min="14087" max="14338" width="6.69921875" style="818"/>
    <col min="14339" max="14339" width="5.69921875" style="818" customWidth="1"/>
    <col min="14340" max="14340" width="31.19921875" style="818" customWidth="1"/>
    <col min="14341" max="14341" width="16.19921875" style="818" customWidth="1"/>
    <col min="14342" max="14342" width="10.3984375" style="818" customWidth="1"/>
    <col min="14343" max="14594" width="6.69921875" style="818"/>
    <col min="14595" max="14595" width="5.69921875" style="818" customWidth="1"/>
    <col min="14596" max="14596" width="31.19921875" style="818" customWidth="1"/>
    <col min="14597" max="14597" width="16.19921875" style="818" customWidth="1"/>
    <col min="14598" max="14598" width="10.3984375" style="818" customWidth="1"/>
    <col min="14599" max="14850" width="6.69921875" style="818"/>
    <col min="14851" max="14851" width="5.69921875" style="818" customWidth="1"/>
    <col min="14852" max="14852" width="31.19921875" style="818" customWidth="1"/>
    <col min="14853" max="14853" width="16.19921875" style="818" customWidth="1"/>
    <col min="14854" max="14854" width="10.3984375" style="818" customWidth="1"/>
    <col min="14855" max="15106" width="6.69921875" style="818"/>
    <col min="15107" max="15107" width="5.69921875" style="818" customWidth="1"/>
    <col min="15108" max="15108" width="31.19921875" style="818" customWidth="1"/>
    <col min="15109" max="15109" width="16.19921875" style="818" customWidth="1"/>
    <col min="15110" max="15110" width="10.3984375" style="818" customWidth="1"/>
    <col min="15111" max="15362" width="6.69921875" style="818"/>
    <col min="15363" max="15363" width="5.69921875" style="818" customWidth="1"/>
    <col min="15364" max="15364" width="31.19921875" style="818" customWidth="1"/>
    <col min="15365" max="15365" width="16.19921875" style="818" customWidth="1"/>
    <col min="15366" max="15366" width="10.3984375" style="818" customWidth="1"/>
    <col min="15367" max="15618" width="6.69921875" style="818"/>
    <col min="15619" max="15619" width="5.69921875" style="818" customWidth="1"/>
    <col min="15620" max="15620" width="31.19921875" style="818" customWidth="1"/>
    <col min="15621" max="15621" width="16.19921875" style="818" customWidth="1"/>
    <col min="15622" max="15622" width="10.3984375" style="818" customWidth="1"/>
    <col min="15623" max="15874" width="6.69921875" style="818"/>
    <col min="15875" max="15875" width="5.69921875" style="818" customWidth="1"/>
    <col min="15876" max="15876" width="31.19921875" style="818" customWidth="1"/>
    <col min="15877" max="15877" width="16.19921875" style="818" customWidth="1"/>
    <col min="15878" max="15878" width="10.3984375" style="818" customWidth="1"/>
    <col min="15879" max="16130" width="6.69921875" style="818"/>
    <col min="16131" max="16131" width="5.69921875" style="818" customWidth="1"/>
    <col min="16132" max="16132" width="31.19921875" style="818" customWidth="1"/>
    <col min="16133" max="16133" width="16.19921875" style="818" customWidth="1"/>
    <col min="16134" max="16134" width="10.3984375" style="818" customWidth="1"/>
    <col min="16135" max="16384" width="6.69921875" style="818"/>
  </cols>
  <sheetData>
    <row r="2" spans="1:6" ht="42.75" customHeight="1" x14ac:dyDescent="0.3">
      <c r="A2" s="816" t="s">
        <v>218</v>
      </c>
      <c r="B2" s="817"/>
      <c r="C2" s="817"/>
      <c r="D2" s="817"/>
      <c r="E2" s="817"/>
      <c r="F2" s="817"/>
    </row>
    <row r="3" spans="1:6" x14ac:dyDescent="0.3">
      <c r="A3" s="819"/>
      <c r="B3" s="819"/>
      <c r="C3" s="819"/>
      <c r="D3" s="819"/>
      <c r="E3" s="819"/>
      <c r="F3" s="819"/>
    </row>
    <row r="4" spans="1:6" x14ac:dyDescent="0.3">
      <c r="C4" s="820" t="s">
        <v>20</v>
      </c>
      <c r="D4" s="820"/>
      <c r="E4" s="820"/>
      <c r="F4" s="820"/>
    </row>
    <row r="5" spans="1:6" s="819" customFormat="1" ht="37.5" x14ac:dyDescent="0.3">
      <c r="A5" s="821" t="s">
        <v>6</v>
      </c>
      <c r="B5" s="821" t="s">
        <v>0</v>
      </c>
      <c r="C5" s="822" t="s">
        <v>1106</v>
      </c>
      <c r="D5" s="822" t="s">
        <v>1107</v>
      </c>
      <c r="E5" s="822" t="s">
        <v>1108</v>
      </c>
      <c r="F5" s="823" t="s">
        <v>22</v>
      </c>
    </row>
    <row r="6" spans="1:6" s="827" customFormat="1" ht="19.7" customHeight="1" x14ac:dyDescent="0.3">
      <c r="A6" s="824" t="s">
        <v>5</v>
      </c>
      <c r="B6" s="825" t="s">
        <v>220</v>
      </c>
      <c r="C6" s="826">
        <f>C8+C9+C10+C7</f>
        <v>28805813902</v>
      </c>
      <c r="D6" s="826">
        <f t="shared" ref="D6:E6" si="0">D8+D9+D10+D7</f>
        <v>7198590000</v>
      </c>
      <c r="E6" s="826">
        <f t="shared" si="0"/>
        <v>4502056000</v>
      </c>
      <c r="F6" s="826">
        <f>F8+F9+F10+F7</f>
        <v>40506459902</v>
      </c>
    </row>
    <row r="7" spans="1:6" s="831" customFormat="1" ht="19.7" customHeight="1" x14ac:dyDescent="0.3">
      <c r="A7" s="828">
        <v>1</v>
      </c>
      <c r="B7" s="829" t="s">
        <v>1049</v>
      </c>
      <c r="C7" s="830"/>
      <c r="D7" s="830"/>
      <c r="E7" s="830">
        <v>2331094000</v>
      </c>
      <c r="F7" s="830">
        <f>C7+D7+E7</f>
        <v>2331094000</v>
      </c>
    </row>
    <row r="8" spans="1:6" s="835" customFormat="1" ht="19.7" customHeight="1" x14ac:dyDescent="0.3">
      <c r="A8" s="832">
        <v>2</v>
      </c>
      <c r="B8" s="833" t="s">
        <v>992</v>
      </c>
      <c r="C8" s="834">
        <v>12878700000</v>
      </c>
      <c r="D8" s="834">
        <v>946590000</v>
      </c>
      <c r="E8" s="834"/>
      <c r="F8" s="830">
        <f t="shared" ref="F8:F41" si="1">C8+D8+E8</f>
        <v>13825290000</v>
      </c>
    </row>
    <row r="9" spans="1:6" s="835" customFormat="1" ht="19.7" customHeight="1" x14ac:dyDescent="0.3">
      <c r="A9" s="832">
        <v>3</v>
      </c>
      <c r="B9" s="833" t="s">
        <v>4</v>
      </c>
      <c r="C9" s="834">
        <v>1944826000</v>
      </c>
      <c r="D9" s="834">
        <v>1805000000</v>
      </c>
      <c r="E9" s="834">
        <v>38236000</v>
      </c>
      <c r="F9" s="830">
        <f t="shared" si="1"/>
        <v>3788062000</v>
      </c>
    </row>
    <row r="10" spans="1:6" s="827" customFormat="1" ht="19.7" customHeight="1" x14ac:dyDescent="0.3">
      <c r="A10" s="832">
        <v>4</v>
      </c>
      <c r="B10" s="833" t="s">
        <v>2</v>
      </c>
      <c r="C10" s="834">
        <v>13982287902</v>
      </c>
      <c r="D10" s="834">
        <v>4447000000</v>
      </c>
      <c r="E10" s="834">
        <v>2132726000</v>
      </c>
      <c r="F10" s="830">
        <f t="shared" si="1"/>
        <v>20562013902</v>
      </c>
    </row>
    <row r="11" spans="1:6" ht="19.7" customHeight="1" x14ac:dyDescent="0.3">
      <c r="A11" s="824" t="s">
        <v>1</v>
      </c>
      <c r="B11" s="825" t="s">
        <v>221</v>
      </c>
      <c r="C11" s="826">
        <f>C12+C16</f>
        <v>15261483080</v>
      </c>
      <c r="D11" s="826">
        <f>D12+D16</f>
        <v>497509000</v>
      </c>
      <c r="E11" s="826">
        <f t="shared" ref="E11" si="2">E12+E16</f>
        <v>1812817100</v>
      </c>
      <c r="F11" s="826">
        <f>F12+F16</f>
        <v>17571809180</v>
      </c>
    </row>
    <row r="12" spans="1:6" ht="19.7" customHeight="1" x14ac:dyDescent="0.3">
      <c r="A12" s="832">
        <v>1</v>
      </c>
      <c r="B12" s="833" t="s">
        <v>222</v>
      </c>
      <c r="C12" s="834">
        <f>SUM(C13:C15)</f>
        <v>15243598303</v>
      </c>
      <c r="D12" s="834">
        <f>SUM(D13:D15)</f>
        <v>497509000</v>
      </c>
      <c r="E12" s="834">
        <f t="shared" ref="E12" si="3">SUM(E13:E15)</f>
        <v>1812817100</v>
      </c>
      <c r="F12" s="830">
        <f t="shared" si="1"/>
        <v>17553924403</v>
      </c>
    </row>
    <row r="13" spans="1:6" ht="19.7" customHeight="1" x14ac:dyDescent="0.3">
      <c r="A13" s="832"/>
      <c r="B13" s="836" t="s">
        <v>992</v>
      </c>
      <c r="C13" s="837">
        <f>C8*40%</f>
        <v>5151480000</v>
      </c>
      <c r="D13" s="837">
        <f>D8*10%</f>
        <v>94659000</v>
      </c>
      <c r="E13" s="837"/>
      <c r="F13" s="830">
        <f t="shared" si="1"/>
        <v>5246139000</v>
      </c>
    </row>
    <row r="14" spans="1:6" ht="19.7" customHeight="1" x14ac:dyDescent="0.3">
      <c r="A14" s="832"/>
      <c r="B14" s="836" t="s">
        <v>4</v>
      </c>
      <c r="C14" s="837">
        <v>189004200</v>
      </c>
      <c r="D14" s="837">
        <f>D9*10%</f>
        <v>180500000</v>
      </c>
      <c r="E14" s="837">
        <v>0</v>
      </c>
      <c r="F14" s="830">
        <f t="shared" si="1"/>
        <v>369504200</v>
      </c>
    </row>
    <row r="15" spans="1:6" ht="19.7" customHeight="1" x14ac:dyDescent="0.3">
      <c r="A15" s="832"/>
      <c r="B15" s="836" t="s">
        <v>2</v>
      </c>
      <c r="C15" s="837">
        <v>9903114103</v>
      </c>
      <c r="D15" s="837">
        <f>D10*5%</f>
        <v>222350000</v>
      </c>
      <c r="E15" s="837">
        <f>E10*85%</f>
        <v>1812817100</v>
      </c>
      <c r="F15" s="830">
        <f t="shared" si="1"/>
        <v>11938281203</v>
      </c>
    </row>
    <row r="16" spans="1:6" ht="38.25" customHeight="1" x14ac:dyDescent="0.3">
      <c r="A16" s="832">
        <v>2</v>
      </c>
      <c r="B16" s="833" t="s">
        <v>223</v>
      </c>
      <c r="C16" s="834">
        <v>17884777</v>
      </c>
      <c r="D16" s="834"/>
      <c r="E16" s="834"/>
      <c r="F16" s="830">
        <f t="shared" si="1"/>
        <v>17884777</v>
      </c>
    </row>
    <row r="17" spans="1:7" ht="19.7" customHeight="1" x14ac:dyDescent="0.3">
      <c r="A17" s="824" t="s">
        <v>3</v>
      </c>
      <c r="B17" s="825" t="s">
        <v>224</v>
      </c>
      <c r="C17" s="826">
        <v>1677789400</v>
      </c>
      <c r="D17" s="826"/>
      <c r="E17" s="826"/>
      <c r="F17" s="826">
        <v>1677789400</v>
      </c>
    </row>
    <row r="18" spans="1:7" ht="19.7" customHeight="1" x14ac:dyDescent="0.3">
      <c r="A18" s="832"/>
      <c r="B18" s="833" t="s">
        <v>225</v>
      </c>
      <c r="C18" s="834">
        <v>1677789400</v>
      </c>
      <c r="D18" s="834"/>
      <c r="E18" s="834"/>
      <c r="F18" s="830">
        <f t="shared" si="1"/>
        <v>1677789400</v>
      </c>
    </row>
    <row r="19" spans="1:7" ht="19.7" customHeight="1" x14ac:dyDescent="0.3">
      <c r="A19" s="824" t="s">
        <v>23</v>
      </c>
      <c r="B19" s="825" t="s">
        <v>226</v>
      </c>
      <c r="C19" s="826">
        <f>C20+C25+C26</f>
        <v>11866541422</v>
      </c>
      <c r="D19" s="826">
        <f>D20+D25+D26</f>
        <v>6701081000</v>
      </c>
      <c r="E19" s="826">
        <f t="shared" ref="E19:F19" si="4">E20+E25+E26</f>
        <v>2689238900</v>
      </c>
      <c r="F19" s="826">
        <f t="shared" si="4"/>
        <v>21256861322</v>
      </c>
    </row>
    <row r="20" spans="1:7" ht="19.7" customHeight="1" x14ac:dyDescent="0.3">
      <c r="A20" s="832">
        <v>1</v>
      </c>
      <c r="B20" s="833" t="s">
        <v>11</v>
      </c>
      <c r="C20" s="834">
        <f>SUM(C21:C24)</f>
        <v>11566077163</v>
      </c>
      <c r="D20" s="834">
        <f>SUM(D21:D24)</f>
        <v>3810531000</v>
      </c>
      <c r="E20" s="834">
        <f>SUM(E21:E24)</f>
        <v>2689238900</v>
      </c>
      <c r="F20" s="834">
        <f t="shared" ref="F20" si="5">SUM(F21:F24)</f>
        <v>18065847063</v>
      </c>
    </row>
    <row r="21" spans="1:7" ht="19.7" customHeight="1" x14ac:dyDescent="0.3">
      <c r="A21" s="832"/>
      <c r="B21" s="833" t="s">
        <v>1049</v>
      </c>
      <c r="C21" s="834"/>
      <c r="D21" s="834"/>
      <c r="E21" s="834">
        <f>E7</f>
        <v>2331094000</v>
      </c>
      <c r="F21" s="830">
        <f t="shared" si="1"/>
        <v>2331094000</v>
      </c>
    </row>
    <row r="22" spans="1:7" ht="19.7" customHeight="1" x14ac:dyDescent="0.3">
      <c r="A22" s="832"/>
      <c r="B22" s="836" t="s">
        <v>992</v>
      </c>
      <c r="C22" s="837">
        <f>C8-C13</f>
        <v>7727220000</v>
      </c>
      <c r="D22" s="837">
        <f>D8-D13</f>
        <v>851931000</v>
      </c>
      <c r="E22" s="837">
        <v>0</v>
      </c>
      <c r="F22" s="830">
        <f t="shared" si="1"/>
        <v>8579151000</v>
      </c>
    </row>
    <row r="23" spans="1:7" ht="19.7" customHeight="1" x14ac:dyDescent="0.3">
      <c r="A23" s="832"/>
      <c r="B23" s="836" t="s">
        <v>4</v>
      </c>
      <c r="C23" s="837">
        <f>C9-C14</f>
        <v>1755821800</v>
      </c>
      <c r="D23" s="837">
        <f>D9-D14</f>
        <v>1624500000</v>
      </c>
      <c r="E23" s="837">
        <f>E9-E14</f>
        <v>38236000</v>
      </c>
      <c r="F23" s="830">
        <f t="shared" si="1"/>
        <v>3418557800</v>
      </c>
    </row>
    <row r="24" spans="1:7" ht="19.7" customHeight="1" x14ac:dyDescent="0.3">
      <c r="A24" s="832"/>
      <c r="B24" s="836" t="s">
        <v>2</v>
      </c>
      <c r="C24" s="837">
        <v>2083035363</v>
      </c>
      <c r="D24" s="837">
        <f>D10*30%</f>
        <v>1334100000</v>
      </c>
      <c r="E24" s="837">
        <f>E10*15%</f>
        <v>319908900</v>
      </c>
      <c r="F24" s="830">
        <f t="shared" si="1"/>
        <v>3737044263</v>
      </c>
    </row>
    <row r="25" spans="1:7" ht="19.7" customHeight="1" x14ac:dyDescent="0.3">
      <c r="A25" s="832">
        <v>3</v>
      </c>
      <c r="B25" s="833" t="s">
        <v>12</v>
      </c>
      <c r="C25" s="834">
        <v>118039530</v>
      </c>
      <c r="D25" s="834">
        <f>D10*31%</f>
        <v>1378570000</v>
      </c>
      <c r="E25" s="834"/>
      <c r="F25" s="830">
        <f t="shared" si="1"/>
        <v>1496609530</v>
      </c>
    </row>
    <row r="26" spans="1:7" ht="19.7" customHeight="1" x14ac:dyDescent="0.3">
      <c r="A26" s="832">
        <v>4</v>
      </c>
      <c r="B26" s="833" t="s">
        <v>13</v>
      </c>
      <c r="C26" s="834">
        <v>182424729</v>
      </c>
      <c r="D26" s="834">
        <f>D10*34%</f>
        <v>1511980000</v>
      </c>
      <c r="E26" s="834"/>
      <c r="F26" s="830">
        <f t="shared" si="1"/>
        <v>1694404729</v>
      </c>
    </row>
    <row r="27" spans="1:7" ht="19.7" customHeight="1" x14ac:dyDescent="0.3">
      <c r="A27" s="824" t="s">
        <v>227</v>
      </c>
      <c r="B27" s="825" t="s">
        <v>228</v>
      </c>
      <c r="C27" s="826">
        <f>C28+C39</f>
        <v>11705875873</v>
      </c>
      <c r="D27" s="826">
        <f>D28+D39</f>
        <v>6701081000</v>
      </c>
      <c r="E27" s="826">
        <f>E28+E39</f>
        <v>2689238900</v>
      </c>
      <c r="F27" s="826">
        <f>F28+F39</f>
        <v>21096195773</v>
      </c>
      <c r="G27" s="838"/>
    </row>
    <row r="28" spans="1:7" ht="19.7" customHeight="1" x14ac:dyDescent="0.3">
      <c r="A28" s="832">
        <v>1</v>
      </c>
      <c r="B28" s="833" t="s">
        <v>11</v>
      </c>
      <c r="C28" s="834">
        <f>C20</f>
        <v>11566077163</v>
      </c>
      <c r="D28" s="834">
        <f t="shared" ref="D28" si="6">D20</f>
        <v>3810531000</v>
      </c>
      <c r="E28" s="834">
        <f>E20</f>
        <v>2689238900</v>
      </c>
      <c r="F28" s="834">
        <f t="shared" ref="F28" si="7">F20</f>
        <v>18065847063</v>
      </c>
    </row>
    <row r="29" spans="1:7" ht="19.7" customHeight="1" x14ac:dyDescent="0.3">
      <c r="A29" s="839" t="s">
        <v>1015</v>
      </c>
      <c r="B29" s="833" t="s">
        <v>229</v>
      </c>
      <c r="C29" s="834">
        <v>7813741784</v>
      </c>
      <c r="D29" s="834">
        <v>2816000000</v>
      </c>
      <c r="E29" s="834">
        <f>285600000+470000000</f>
        <v>755600000</v>
      </c>
      <c r="F29" s="830">
        <f t="shared" si="1"/>
        <v>11385341784</v>
      </c>
    </row>
    <row r="30" spans="1:7" ht="19.7" customHeight="1" x14ac:dyDescent="0.3">
      <c r="A30" s="839" t="s">
        <v>1016</v>
      </c>
      <c r="B30" s="833" t="s">
        <v>230</v>
      </c>
      <c r="C30" s="834">
        <v>618220294</v>
      </c>
      <c r="D30" s="834">
        <v>150000000</v>
      </c>
      <c r="E30" s="834">
        <f>54096000+14276000</f>
        <v>68372000</v>
      </c>
      <c r="F30" s="830">
        <f t="shared" si="1"/>
        <v>836592294</v>
      </c>
    </row>
    <row r="31" spans="1:7" ht="19.7" customHeight="1" x14ac:dyDescent="0.3">
      <c r="A31" s="839" t="s">
        <v>1017</v>
      </c>
      <c r="B31" s="833" t="s">
        <v>1013</v>
      </c>
      <c r="C31" s="834">
        <f>SUM(C32:C38)</f>
        <v>3134115085</v>
      </c>
      <c r="D31" s="834">
        <f>SUM(D32:D38)</f>
        <v>844531000</v>
      </c>
      <c r="E31" s="834">
        <f>SUM(E32:E38)</f>
        <v>1592766900</v>
      </c>
      <c r="F31" s="834">
        <f t="shared" ref="F31" si="8">SUM(F32:F38)</f>
        <v>5571412985</v>
      </c>
    </row>
    <row r="32" spans="1:7" ht="39" customHeight="1" x14ac:dyDescent="0.3">
      <c r="A32" s="839"/>
      <c r="B32" s="840" t="s">
        <v>1050</v>
      </c>
      <c r="C32" s="834">
        <v>104800000</v>
      </c>
      <c r="D32" s="834">
        <v>53200000</v>
      </c>
      <c r="E32" s="834"/>
      <c r="F32" s="830">
        <f t="shared" si="1"/>
        <v>158000000</v>
      </c>
    </row>
    <row r="33" spans="1:7" ht="24" customHeight="1" x14ac:dyDescent="0.3">
      <c r="A33" s="839"/>
      <c r="B33" s="841" t="s">
        <v>1019</v>
      </c>
      <c r="C33" s="834">
        <v>54000000</v>
      </c>
      <c r="D33" s="834">
        <v>0</v>
      </c>
      <c r="E33" s="834"/>
      <c r="F33" s="830">
        <f t="shared" si="1"/>
        <v>54000000</v>
      </c>
    </row>
    <row r="34" spans="1:7" ht="39" customHeight="1" x14ac:dyDescent="0.3">
      <c r="A34" s="839"/>
      <c r="B34" s="840" t="s">
        <v>1035</v>
      </c>
      <c r="C34" s="834">
        <v>368000000</v>
      </c>
      <c r="D34" s="834">
        <v>34000000</v>
      </c>
      <c r="E34" s="834"/>
      <c r="F34" s="830">
        <f t="shared" si="1"/>
        <v>402000000</v>
      </c>
      <c r="G34" s="838"/>
    </row>
    <row r="35" spans="1:7" ht="24.75" customHeight="1" x14ac:dyDescent="0.3">
      <c r="A35" s="839"/>
      <c r="B35" s="841" t="s">
        <v>1051</v>
      </c>
      <c r="C35" s="842">
        <v>108000000</v>
      </c>
      <c r="D35" s="834"/>
      <c r="E35" s="834"/>
      <c r="F35" s="830">
        <f t="shared" si="1"/>
        <v>108000000</v>
      </c>
    </row>
    <row r="36" spans="1:7" ht="56.25" customHeight="1" x14ac:dyDescent="0.3">
      <c r="A36" s="839"/>
      <c r="B36" s="840" t="s">
        <v>1052</v>
      </c>
      <c r="C36" s="842">
        <v>661000000</v>
      </c>
      <c r="D36" s="834">
        <v>59000000</v>
      </c>
      <c r="E36" s="834"/>
      <c r="F36" s="830">
        <f t="shared" si="1"/>
        <v>720000000</v>
      </c>
      <c r="G36" s="838"/>
    </row>
    <row r="37" spans="1:7" ht="21" customHeight="1" x14ac:dyDescent="0.3">
      <c r="A37" s="839"/>
      <c r="B37" s="841" t="s">
        <v>1041</v>
      </c>
      <c r="C37" s="842">
        <v>583000000</v>
      </c>
      <c r="D37" s="834"/>
      <c r="E37" s="834"/>
      <c r="F37" s="830">
        <f t="shared" si="1"/>
        <v>583000000</v>
      </c>
    </row>
    <row r="38" spans="1:7" ht="22.5" customHeight="1" x14ac:dyDescent="0.3">
      <c r="A38" s="839"/>
      <c r="B38" s="841" t="s">
        <v>231</v>
      </c>
      <c r="C38" s="842">
        <f>302000000+860315085+34000000+59000000</f>
        <v>1255315085</v>
      </c>
      <c r="D38" s="834">
        <v>698331000</v>
      </c>
      <c r="E38" s="834">
        <v>1592766900</v>
      </c>
      <c r="F38" s="830">
        <f t="shared" si="1"/>
        <v>3546412985</v>
      </c>
    </row>
    <row r="39" spans="1:7" x14ac:dyDescent="0.3">
      <c r="A39" s="832">
        <v>2</v>
      </c>
      <c r="B39" s="833" t="s">
        <v>231</v>
      </c>
      <c r="C39" s="843">
        <f>C40+C41</f>
        <v>139798710</v>
      </c>
      <c r="D39" s="843">
        <f t="shared" ref="D39:E39" si="9">D40+D41</f>
        <v>2890550000</v>
      </c>
      <c r="E39" s="843">
        <f t="shared" si="9"/>
        <v>0</v>
      </c>
      <c r="F39" s="830">
        <f t="shared" si="1"/>
        <v>3030348710</v>
      </c>
    </row>
    <row r="40" spans="1:7" x14ac:dyDescent="0.3">
      <c r="A40" s="832"/>
      <c r="B40" s="833" t="s">
        <v>12</v>
      </c>
      <c r="C40" s="834">
        <v>31387020</v>
      </c>
      <c r="D40" s="834">
        <v>1378570000</v>
      </c>
      <c r="E40" s="834"/>
      <c r="F40" s="830">
        <f t="shared" si="1"/>
        <v>1409957020</v>
      </c>
    </row>
    <row r="41" spans="1:7" ht="25.5" customHeight="1" x14ac:dyDescent="0.3">
      <c r="A41" s="832"/>
      <c r="B41" s="833" t="s">
        <v>232</v>
      </c>
      <c r="C41" s="834">
        <v>108411690</v>
      </c>
      <c r="D41" s="834">
        <v>1511980000</v>
      </c>
      <c r="E41" s="834"/>
      <c r="F41" s="830">
        <f t="shared" si="1"/>
        <v>1620391690</v>
      </c>
    </row>
  </sheetData>
  <mergeCells count="2">
    <mergeCell ref="A2:F2"/>
    <mergeCell ref="C4:F4"/>
  </mergeCells>
  <pageMargins left="0.922619047619048" right="0.511811023622047" top="0.55118110236220497" bottom="0.55118110236220497" header="0.31496062992126" footer="0.31496062992126"/>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12"/>
  <sheetViews>
    <sheetView zoomScale="85" zoomScaleNormal="85" zoomScalePageLayoutView="85" workbookViewId="0">
      <selection activeCell="D7" sqref="A5:K12"/>
    </sheetView>
  </sheetViews>
  <sheetFormatPr defaultColWidth="8.69921875" defaultRowHeight="15" x14ac:dyDescent="0.25"/>
  <cols>
    <col min="1" max="1" width="8.69921875" style="154"/>
    <col min="2" max="2" width="24.296875" style="154" customWidth="1"/>
    <col min="3" max="5" width="9.59765625" style="154" bestFit="1" customWidth="1"/>
    <col min="6" max="6" width="12.59765625" style="154" customWidth="1"/>
    <col min="7" max="7" width="9.59765625" style="154" bestFit="1" customWidth="1"/>
    <col min="8" max="8" width="11" style="154" bestFit="1" customWidth="1"/>
    <col min="9" max="16384" width="8.69921875" style="154"/>
  </cols>
  <sheetData>
    <row r="2" spans="1:11" ht="18.75" x14ac:dyDescent="0.25">
      <c r="A2" s="713" t="s">
        <v>1150</v>
      </c>
      <c r="B2" s="713"/>
      <c r="C2" s="713"/>
      <c r="D2" s="713"/>
      <c r="E2" s="713"/>
      <c r="F2" s="713"/>
      <c r="G2" s="713"/>
      <c r="H2" s="713"/>
      <c r="I2" s="713"/>
      <c r="J2" s="713"/>
      <c r="K2" s="713"/>
    </row>
    <row r="3" spans="1:11" ht="18.75" x14ac:dyDescent="0.25">
      <c r="A3" s="713" t="s">
        <v>1149</v>
      </c>
      <c r="B3" s="713"/>
      <c r="C3" s="713"/>
      <c r="D3" s="713"/>
      <c r="E3" s="713"/>
      <c r="F3" s="713"/>
      <c r="G3" s="713"/>
      <c r="H3" s="713"/>
      <c r="I3" s="713"/>
      <c r="J3" s="713"/>
      <c r="K3" s="713"/>
    </row>
    <row r="4" spans="1:11" ht="18.75" x14ac:dyDescent="0.25">
      <c r="A4" s="155"/>
      <c r="B4" s="155"/>
      <c r="C4" s="155"/>
      <c r="D4" s="155"/>
      <c r="E4" s="155"/>
      <c r="F4" s="155"/>
      <c r="G4" s="155"/>
      <c r="H4" s="155"/>
      <c r="I4" s="155"/>
      <c r="J4" s="155"/>
      <c r="K4" s="155"/>
    </row>
    <row r="5" spans="1:11" ht="56.25" customHeight="1" x14ac:dyDescent="0.25">
      <c r="A5" s="234"/>
      <c r="B5" s="234"/>
      <c r="C5" s="963" t="s">
        <v>469</v>
      </c>
      <c r="D5" s="963"/>
      <c r="E5" s="963"/>
      <c r="F5" s="963"/>
      <c r="G5" s="963" t="s">
        <v>470</v>
      </c>
      <c r="H5" s="963" t="s">
        <v>1166</v>
      </c>
      <c r="I5" s="963" t="s">
        <v>471</v>
      </c>
      <c r="J5" s="963"/>
      <c r="K5" s="964" t="s">
        <v>24</v>
      </c>
    </row>
    <row r="6" spans="1:11" ht="55.5" customHeight="1" x14ac:dyDescent="0.25">
      <c r="A6" s="234" t="s">
        <v>344</v>
      </c>
      <c r="B6" s="234" t="s">
        <v>352</v>
      </c>
      <c r="C6" s="234" t="s">
        <v>472</v>
      </c>
      <c r="D6" s="234" t="s">
        <v>345</v>
      </c>
      <c r="E6" s="234" t="s">
        <v>346</v>
      </c>
      <c r="F6" s="234" t="s">
        <v>219</v>
      </c>
      <c r="G6" s="963"/>
      <c r="H6" s="963"/>
      <c r="I6" s="234" t="s">
        <v>349</v>
      </c>
      <c r="J6" s="234" t="s">
        <v>473</v>
      </c>
      <c r="K6" s="965"/>
    </row>
    <row r="7" spans="1:11" ht="31.5" x14ac:dyDescent="0.25">
      <c r="A7" s="966" t="s">
        <v>5</v>
      </c>
      <c r="B7" s="966" t="s">
        <v>474</v>
      </c>
      <c r="C7" s="967">
        <f t="shared" ref="C7:H7" si="0">SUM(C8:C12)</f>
        <v>173560000</v>
      </c>
      <c r="D7" s="967">
        <f>SUM(D8:D12)</f>
        <v>279000000</v>
      </c>
      <c r="E7" s="967">
        <f t="shared" si="0"/>
        <v>443980000</v>
      </c>
      <c r="F7" s="967">
        <f>SUM(F8:F12)</f>
        <v>542320000</v>
      </c>
      <c r="G7" s="968">
        <f t="shared" si="0"/>
        <v>358840000</v>
      </c>
      <c r="H7" s="968">
        <f t="shared" si="0"/>
        <v>510000000</v>
      </c>
      <c r="I7" s="966"/>
      <c r="J7" s="227"/>
      <c r="K7" s="227"/>
    </row>
    <row r="8" spans="1:11" ht="15.75" x14ac:dyDescent="0.25">
      <c r="A8" s="969">
        <v>1</v>
      </c>
      <c r="B8" s="227" t="s">
        <v>229</v>
      </c>
      <c r="C8" s="970">
        <v>173560000</v>
      </c>
      <c r="D8" s="970">
        <v>257447000</v>
      </c>
      <c r="E8" s="970">
        <v>395818340</v>
      </c>
      <c r="F8" s="971">
        <v>525495818</v>
      </c>
      <c r="G8" s="972">
        <v>276476000</v>
      </c>
      <c r="H8" s="227">
        <v>0</v>
      </c>
      <c r="I8" s="966"/>
      <c r="J8" s="227"/>
      <c r="K8" s="227"/>
    </row>
    <row r="9" spans="1:11" ht="31.5" x14ac:dyDescent="0.25">
      <c r="A9" s="969">
        <v>2</v>
      </c>
      <c r="B9" s="227" t="s">
        <v>475</v>
      </c>
      <c r="C9" s="973">
        <v>0</v>
      </c>
      <c r="D9" s="970">
        <v>6709000</v>
      </c>
      <c r="E9" s="970">
        <v>6462660</v>
      </c>
      <c r="F9" s="970">
        <v>8530182</v>
      </c>
      <c r="G9" s="972">
        <v>70364000</v>
      </c>
      <c r="H9" s="972">
        <v>302300000</v>
      </c>
      <c r="I9" s="974">
        <v>1</v>
      </c>
      <c r="J9" s="227"/>
      <c r="K9" s="227"/>
    </row>
    <row r="10" spans="1:11" ht="31.5" x14ac:dyDescent="0.25">
      <c r="A10" s="969">
        <v>3</v>
      </c>
      <c r="B10" s="227" t="s">
        <v>476</v>
      </c>
      <c r="C10" s="973">
        <v>0</v>
      </c>
      <c r="D10" s="970">
        <v>11604000</v>
      </c>
      <c r="E10" s="973">
        <v>0</v>
      </c>
      <c r="F10" s="973">
        <v>0</v>
      </c>
      <c r="G10" s="227">
        <v>0</v>
      </c>
      <c r="H10" s="972">
        <v>100000000</v>
      </c>
      <c r="I10" s="975"/>
      <c r="J10" s="227"/>
      <c r="K10" s="227"/>
    </row>
    <row r="11" spans="1:11" ht="31.5" x14ac:dyDescent="0.25">
      <c r="A11" s="969">
        <v>4</v>
      </c>
      <c r="B11" s="227" t="s">
        <v>477</v>
      </c>
      <c r="C11" s="973"/>
      <c r="D11" s="973"/>
      <c r="E11" s="973"/>
      <c r="F11" s="973"/>
      <c r="G11" s="227"/>
      <c r="H11" s="972">
        <v>50000000</v>
      </c>
      <c r="I11" s="975"/>
      <c r="J11" s="227"/>
      <c r="K11" s="227"/>
    </row>
    <row r="12" spans="1:11" ht="15.75" x14ac:dyDescent="0.25">
      <c r="A12" s="969">
        <v>5</v>
      </c>
      <c r="B12" s="227" t="s">
        <v>19</v>
      </c>
      <c r="C12" s="973">
        <v>0</v>
      </c>
      <c r="D12" s="970">
        <v>3240000</v>
      </c>
      <c r="E12" s="970">
        <v>41699000</v>
      </c>
      <c r="F12" s="970">
        <v>8294000</v>
      </c>
      <c r="G12" s="972">
        <v>12000000</v>
      </c>
      <c r="H12" s="972">
        <v>57700000</v>
      </c>
      <c r="I12" s="975"/>
      <c r="J12" s="227"/>
      <c r="K12" s="227"/>
    </row>
  </sheetData>
  <mergeCells count="7">
    <mergeCell ref="A2:K2"/>
    <mergeCell ref="C5:F5"/>
    <mergeCell ref="G5:G6"/>
    <mergeCell ref="H5:H6"/>
    <mergeCell ref="I5:J5"/>
    <mergeCell ref="A3:K3"/>
    <mergeCell ref="K5:K6"/>
  </mergeCells>
  <pageMargins left="0.7" right="0.7" top="0.75" bottom="0.75" header="0.3" footer="0.3"/>
  <pageSetup paperSize="9" scale="85"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3" sqref="A3:D3"/>
    </sheetView>
  </sheetViews>
  <sheetFormatPr defaultColWidth="8.69921875" defaultRowHeight="15" x14ac:dyDescent="0.25"/>
  <cols>
    <col min="1" max="1" width="8.69921875" style="154"/>
    <col min="2" max="2" width="35.796875" style="154" customWidth="1"/>
    <col min="3" max="3" width="15.8984375" style="154" customWidth="1"/>
    <col min="4" max="16384" width="8.69921875" style="154"/>
  </cols>
  <sheetData>
    <row r="1" spans="1:4" ht="15.75" x14ac:dyDescent="0.25">
      <c r="A1" s="716"/>
      <c r="B1" s="716"/>
    </row>
    <row r="2" spans="1:4" ht="15.75" x14ac:dyDescent="0.25">
      <c r="A2" s="717"/>
      <c r="B2" s="717"/>
      <c r="C2" s="717"/>
      <c r="D2" s="717"/>
    </row>
    <row r="3" spans="1:4" ht="39.75" customHeight="1" x14ac:dyDescent="0.25">
      <c r="A3" s="718" t="s">
        <v>1147</v>
      </c>
      <c r="B3" s="718"/>
      <c r="C3" s="718"/>
      <c r="D3" s="718"/>
    </row>
    <row r="4" spans="1:4" ht="15.75" x14ac:dyDescent="0.25">
      <c r="A4" s="166"/>
      <c r="B4" s="166"/>
      <c r="C4" s="166"/>
      <c r="D4" s="166"/>
    </row>
    <row r="5" spans="1:4" x14ac:dyDescent="0.25">
      <c r="C5" s="719" t="s">
        <v>478</v>
      </c>
      <c r="D5" s="719"/>
    </row>
    <row r="6" spans="1:4" ht="16.5" x14ac:dyDescent="0.25">
      <c r="A6" s="167" t="s">
        <v>6</v>
      </c>
      <c r="B6" s="167" t="s">
        <v>479</v>
      </c>
      <c r="C6" s="167" t="s">
        <v>69</v>
      </c>
      <c r="D6" s="167" t="s">
        <v>24</v>
      </c>
    </row>
    <row r="7" spans="1:4" ht="18.75" x14ac:dyDescent="0.25">
      <c r="A7" s="156"/>
      <c r="B7" s="168" t="s">
        <v>480</v>
      </c>
      <c r="C7" s="169">
        <f>C8+C12+C13</f>
        <v>358840000</v>
      </c>
      <c r="D7" s="170"/>
    </row>
    <row r="8" spans="1:4" ht="31.5" x14ac:dyDescent="0.25">
      <c r="A8" s="157">
        <v>1</v>
      </c>
      <c r="B8" s="171" t="s">
        <v>481</v>
      </c>
      <c r="C8" s="158">
        <f>SUM(C9:C11)</f>
        <v>276476000</v>
      </c>
      <c r="D8" s="170"/>
    </row>
    <row r="9" spans="1:4" ht="18.75" x14ac:dyDescent="0.25">
      <c r="A9" s="159" t="s">
        <v>482</v>
      </c>
      <c r="B9" s="160" t="s">
        <v>483</v>
      </c>
      <c r="C9" s="161">
        <v>219655000</v>
      </c>
      <c r="D9" s="170"/>
    </row>
    <row r="10" spans="1:4" ht="18.75" x14ac:dyDescent="0.25">
      <c r="A10" s="159" t="s">
        <v>482</v>
      </c>
      <c r="B10" s="160" t="s">
        <v>484</v>
      </c>
      <c r="C10" s="161">
        <v>4212000</v>
      </c>
      <c r="D10" s="170"/>
    </row>
    <row r="11" spans="1:4" ht="31.5" x14ac:dyDescent="0.25">
      <c r="A11" s="159" t="s">
        <v>482</v>
      </c>
      <c r="B11" s="160" t="s">
        <v>485</v>
      </c>
      <c r="C11" s="161">
        <v>52609000</v>
      </c>
      <c r="D11" s="170"/>
    </row>
    <row r="12" spans="1:4" ht="18.75" x14ac:dyDescent="0.25">
      <c r="A12" s="157">
        <v>2</v>
      </c>
      <c r="B12" s="171" t="s">
        <v>486</v>
      </c>
      <c r="C12" s="158">
        <v>70364000</v>
      </c>
      <c r="D12" s="170"/>
    </row>
    <row r="13" spans="1:4" ht="19.5" x14ac:dyDescent="0.25">
      <c r="A13" s="157">
        <v>3</v>
      </c>
      <c r="B13" s="171" t="s">
        <v>231</v>
      </c>
      <c r="C13" s="158">
        <v>12000000</v>
      </c>
      <c r="D13" s="172"/>
    </row>
  </sheetData>
  <mergeCells count="4">
    <mergeCell ref="A1:B1"/>
    <mergeCell ref="A2:D2"/>
    <mergeCell ref="A3:D3"/>
    <mergeCell ref="C5:D5"/>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G11" sqref="G11"/>
    </sheetView>
  </sheetViews>
  <sheetFormatPr defaultColWidth="8.69921875" defaultRowHeight="15" x14ac:dyDescent="0.25"/>
  <cols>
    <col min="1" max="1" width="4.296875" style="154" customWidth="1"/>
    <col min="2" max="2" width="35.3984375" style="154" customWidth="1"/>
    <col min="3" max="3" width="12.5" style="154" customWidth="1"/>
    <col min="4" max="16384" width="8.69921875" style="154"/>
  </cols>
  <sheetData>
    <row r="1" spans="1:4" ht="15.75" x14ac:dyDescent="0.25">
      <c r="A1" s="716"/>
      <c r="B1" s="716"/>
    </row>
    <row r="2" spans="1:4" ht="15.75" x14ac:dyDescent="0.25">
      <c r="A2" s="717"/>
      <c r="B2" s="717"/>
      <c r="C2" s="717"/>
      <c r="D2" s="717"/>
    </row>
    <row r="3" spans="1:4" ht="42.75" customHeight="1" x14ac:dyDescent="0.25">
      <c r="A3" s="718" t="s">
        <v>1148</v>
      </c>
      <c r="B3" s="718"/>
      <c r="C3" s="718"/>
      <c r="D3" s="718"/>
    </row>
    <row r="4" spans="1:4" ht="15.75" x14ac:dyDescent="0.25">
      <c r="A4" s="717"/>
      <c r="B4" s="717"/>
      <c r="C4" s="717"/>
      <c r="D4" s="717"/>
    </row>
    <row r="5" spans="1:4" ht="16.5" x14ac:dyDescent="0.25">
      <c r="A5" s="167" t="s">
        <v>6</v>
      </c>
      <c r="B5" s="167" t="s">
        <v>479</v>
      </c>
      <c r="C5" s="167" t="s">
        <v>69</v>
      </c>
      <c r="D5" s="167" t="s">
        <v>24</v>
      </c>
    </row>
    <row r="6" spans="1:4" ht="18.75" x14ac:dyDescent="0.25">
      <c r="A6" s="156"/>
      <c r="B6" s="173" t="s">
        <v>480</v>
      </c>
      <c r="C6" s="174">
        <f>C7</f>
        <v>510000000</v>
      </c>
      <c r="D6" s="170"/>
    </row>
    <row r="7" spans="1:4" ht="18.75" x14ac:dyDescent="0.25">
      <c r="A7" s="156" t="s">
        <v>5</v>
      </c>
      <c r="B7" s="175" t="s">
        <v>11</v>
      </c>
      <c r="C7" s="169">
        <f>C13+C17+C19+C26+C27+C28+C8</f>
        <v>510000000</v>
      </c>
      <c r="D7" s="170"/>
    </row>
    <row r="8" spans="1:4" ht="18.75" x14ac:dyDescent="0.25">
      <c r="A8" s="157">
        <v>1</v>
      </c>
      <c r="B8" s="171" t="s">
        <v>487</v>
      </c>
      <c r="C8" s="158">
        <f>SUM(C9:C12)</f>
        <v>74000000</v>
      </c>
      <c r="D8" s="170"/>
    </row>
    <row r="9" spans="1:4" ht="18.75" x14ac:dyDescent="0.25">
      <c r="A9" s="176" t="s">
        <v>488</v>
      </c>
      <c r="B9" s="160" t="s">
        <v>489</v>
      </c>
      <c r="C9" s="161">
        <v>30000000</v>
      </c>
      <c r="D9" s="170"/>
    </row>
    <row r="10" spans="1:4" ht="18.75" x14ac:dyDescent="0.25">
      <c r="A10" s="176" t="s">
        <v>490</v>
      </c>
      <c r="B10" s="160" t="s">
        <v>491</v>
      </c>
      <c r="C10" s="161">
        <v>18000000</v>
      </c>
      <c r="D10" s="170"/>
    </row>
    <row r="11" spans="1:4" ht="18.75" x14ac:dyDescent="0.25">
      <c r="A11" s="176" t="s">
        <v>488</v>
      </c>
      <c r="B11" s="160" t="s">
        <v>492</v>
      </c>
      <c r="C11" s="161">
        <v>20000000</v>
      </c>
      <c r="D11" s="170"/>
    </row>
    <row r="12" spans="1:4" ht="18.75" x14ac:dyDescent="0.25">
      <c r="A12" s="176"/>
      <c r="B12" s="160" t="s">
        <v>493</v>
      </c>
      <c r="C12" s="161">
        <v>6000000</v>
      </c>
      <c r="D12" s="170"/>
    </row>
    <row r="13" spans="1:4" ht="18.75" x14ac:dyDescent="0.25">
      <c r="A13" s="157">
        <v>2</v>
      </c>
      <c r="B13" s="171" t="s">
        <v>494</v>
      </c>
      <c r="C13" s="158">
        <f>SUM(C14:C16)</f>
        <v>20800000</v>
      </c>
      <c r="D13" s="170"/>
    </row>
    <row r="14" spans="1:4" ht="18.75" x14ac:dyDescent="0.25">
      <c r="A14" s="176" t="s">
        <v>488</v>
      </c>
      <c r="B14" s="160" t="s">
        <v>495</v>
      </c>
      <c r="C14" s="161">
        <v>9600000</v>
      </c>
      <c r="D14" s="170"/>
    </row>
    <row r="15" spans="1:4" ht="31.5" x14ac:dyDescent="0.25">
      <c r="A15" s="176" t="s">
        <v>488</v>
      </c>
      <c r="B15" s="160" t="s">
        <v>496</v>
      </c>
      <c r="C15" s="161">
        <v>10000000</v>
      </c>
      <c r="D15" s="170"/>
    </row>
    <row r="16" spans="1:4" ht="18.75" x14ac:dyDescent="0.25">
      <c r="A16" s="176" t="s">
        <v>488</v>
      </c>
      <c r="B16" s="160" t="s">
        <v>497</v>
      </c>
      <c r="C16" s="161">
        <v>1200000</v>
      </c>
      <c r="D16" s="170"/>
    </row>
    <row r="17" spans="1:4" ht="18.75" x14ac:dyDescent="0.25">
      <c r="A17" s="157">
        <v>3</v>
      </c>
      <c r="B17" s="171" t="s">
        <v>498</v>
      </c>
      <c r="C17" s="158">
        <f>C18</f>
        <v>30000000</v>
      </c>
      <c r="D17" s="170"/>
    </row>
    <row r="18" spans="1:4" ht="18.75" x14ac:dyDescent="0.25">
      <c r="A18" s="159" t="s">
        <v>488</v>
      </c>
      <c r="B18" s="160" t="s">
        <v>499</v>
      </c>
      <c r="C18" s="161">
        <v>30000000</v>
      </c>
      <c r="D18" s="170"/>
    </row>
    <row r="19" spans="1:4" ht="18.75" x14ac:dyDescent="0.25">
      <c r="A19" s="157">
        <v>4</v>
      </c>
      <c r="B19" s="171" t="s">
        <v>486</v>
      </c>
      <c r="C19" s="158">
        <f>SUM(C20:C25)</f>
        <v>177500000</v>
      </c>
      <c r="D19" s="170"/>
    </row>
    <row r="20" spans="1:4" ht="18.75" x14ac:dyDescent="0.25">
      <c r="A20" s="159" t="s">
        <v>488</v>
      </c>
      <c r="B20" s="160" t="s">
        <v>500</v>
      </c>
      <c r="C20" s="161">
        <v>40000000</v>
      </c>
      <c r="D20" s="170"/>
    </row>
    <row r="21" spans="1:4" ht="31.5" x14ac:dyDescent="0.25">
      <c r="A21" s="159" t="s">
        <v>482</v>
      </c>
      <c r="B21" s="160" t="s">
        <v>501</v>
      </c>
      <c r="C21" s="161">
        <v>20000000</v>
      </c>
      <c r="D21" s="170"/>
    </row>
    <row r="22" spans="1:4" ht="18.75" x14ac:dyDescent="0.25">
      <c r="A22" s="159" t="s">
        <v>488</v>
      </c>
      <c r="B22" s="160" t="s">
        <v>502</v>
      </c>
      <c r="C22" s="161">
        <v>10500000</v>
      </c>
      <c r="D22" s="170"/>
    </row>
    <row r="23" spans="1:4" ht="18.75" x14ac:dyDescent="0.25">
      <c r="A23" s="159" t="s">
        <v>488</v>
      </c>
      <c r="B23" s="160" t="s">
        <v>503</v>
      </c>
      <c r="C23" s="161">
        <v>7000000</v>
      </c>
      <c r="D23" s="170"/>
    </row>
    <row r="24" spans="1:4" ht="18.75" x14ac:dyDescent="0.25">
      <c r="A24" s="159" t="s">
        <v>488</v>
      </c>
      <c r="B24" s="160" t="s">
        <v>504</v>
      </c>
      <c r="C24" s="161">
        <v>50000000</v>
      </c>
      <c r="D24" s="170"/>
    </row>
    <row r="25" spans="1:4" ht="18.75" x14ac:dyDescent="0.25">
      <c r="A25" s="176" t="s">
        <v>488</v>
      </c>
      <c r="B25" s="160" t="s">
        <v>505</v>
      </c>
      <c r="C25" s="161">
        <v>50000000</v>
      </c>
      <c r="D25" s="170"/>
    </row>
    <row r="26" spans="1:4" ht="31.5" x14ac:dyDescent="0.25">
      <c r="A26" s="157">
        <v>5</v>
      </c>
      <c r="B26" s="171" t="s">
        <v>506</v>
      </c>
      <c r="C26" s="158">
        <v>100000000</v>
      </c>
      <c r="D26" s="170"/>
    </row>
    <row r="27" spans="1:4" ht="18.75" x14ac:dyDescent="0.25">
      <c r="A27" s="157">
        <v>6</v>
      </c>
      <c r="B27" s="171" t="s">
        <v>477</v>
      </c>
      <c r="C27" s="158">
        <v>50000000</v>
      </c>
      <c r="D27" s="170"/>
    </row>
    <row r="28" spans="1:4" ht="18.75" x14ac:dyDescent="0.25">
      <c r="A28" s="157">
        <v>7</v>
      </c>
      <c r="B28" s="171" t="s">
        <v>19</v>
      </c>
      <c r="C28" s="158">
        <v>57700000</v>
      </c>
      <c r="D28" s="170"/>
    </row>
  </sheetData>
  <mergeCells count="4">
    <mergeCell ref="A1:B1"/>
    <mergeCell ref="A2:D2"/>
    <mergeCell ref="A3:D3"/>
    <mergeCell ref="A4:D4"/>
  </mergeCells>
  <pageMargins left="0.7" right="0.7" top="0.75" bottom="0.75" header="0.3" footer="0.3"/>
  <pageSetup paperSize="9" scale="105"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
  <sheetViews>
    <sheetView workbookViewId="0">
      <selection activeCell="F8" sqref="F8"/>
    </sheetView>
  </sheetViews>
  <sheetFormatPr defaultColWidth="8.69921875" defaultRowHeight="15" x14ac:dyDescent="0.25"/>
  <cols>
    <col min="1" max="1" width="4.296875" style="154" customWidth="1"/>
    <col min="2" max="2" width="15.69921875" style="154" customWidth="1"/>
    <col min="3" max="4" width="8.19921875" style="154" customWidth="1"/>
    <col min="5" max="9" width="11.3984375" style="154" customWidth="1"/>
    <col min="10" max="16384" width="8.69921875" style="154"/>
  </cols>
  <sheetData>
    <row r="2" spans="1:10" s="177" customFormat="1" ht="18.75" x14ac:dyDescent="0.25">
      <c r="A2" s="720" t="s">
        <v>507</v>
      </c>
      <c r="B2" s="720"/>
      <c r="C2" s="720"/>
      <c r="D2" s="720"/>
      <c r="E2" s="720"/>
      <c r="F2" s="720"/>
      <c r="G2" s="720"/>
      <c r="H2" s="720"/>
      <c r="I2" s="720"/>
      <c r="J2" s="720"/>
    </row>
    <row r="3" spans="1:10" ht="18.75" x14ac:dyDescent="0.25">
      <c r="A3" s="178"/>
      <c r="B3" s="178"/>
      <c r="C3" s="178"/>
      <c r="D3" s="178"/>
      <c r="E3" s="178"/>
      <c r="F3" s="178"/>
      <c r="G3" s="178"/>
      <c r="H3" s="178"/>
      <c r="I3" s="178"/>
      <c r="J3" s="178"/>
    </row>
    <row r="4" spans="1:10" ht="15.75" x14ac:dyDescent="0.25">
      <c r="A4" s="715" t="s">
        <v>508</v>
      </c>
      <c r="B4" s="715" t="s">
        <v>509</v>
      </c>
      <c r="C4" s="715" t="s">
        <v>510</v>
      </c>
      <c r="D4" s="715"/>
      <c r="E4" s="715" t="s">
        <v>511</v>
      </c>
      <c r="F4" s="715"/>
      <c r="G4" s="715"/>
      <c r="H4" s="715"/>
      <c r="I4" s="714" t="s">
        <v>512</v>
      </c>
      <c r="J4" s="715" t="s">
        <v>24</v>
      </c>
    </row>
    <row r="5" spans="1:10" ht="15.75" x14ac:dyDescent="0.25">
      <c r="A5" s="715"/>
      <c r="B5" s="715"/>
      <c r="C5" s="179"/>
      <c r="D5" s="715" t="s">
        <v>513</v>
      </c>
      <c r="E5" s="715">
        <v>2021</v>
      </c>
      <c r="F5" s="715">
        <v>2022</v>
      </c>
      <c r="G5" s="715">
        <v>2023</v>
      </c>
      <c r="H5" s="715">
        <v>2024</v>
      </c>
      <c r="I5" s="714"/>
      <c r="J5" s="715"/>
    </row>
    <row r="6" spans="1:10" ht="15.75" x14ac:dyDescent="0.25">
      <c r="A6" s="715"/>
      <c r="B6" s="715"/>
      <c r="C6" s="179" t="s">
        <v>514</v>
      </c>
      <c r="D6" s="715"/>
      <c r="E6" s="715"/>
      <c r="F6" s="715"/>
      <c r="G6" s="715"/>
      <c r="H6" s="715"/>
      <c r="I6" s="714"/>
      <c r="J6" s="715"/>
    </row>
    <row r="7" spans="1:10" ht="31.5" x14ac:dyDescent="0.25">
      <c r="A7" s="180">
        <v>1</v>
      </c>
      <c r="B7" s="181" t="s">
        <v>515</v>
      </c>
      <c r="C7" s="162">
        <v>160000</v>
      </c>
      <c r="D7" s="162">
        <v>80000</v>
      </c>
      <c r="E7" s="162">
        <v>512280000</v>
      </c>
      <c r="F7" s="182">
        <v>8213520000</v>
      </c>
      <c r="G7" s="182">
        <v>14454320000</v>
      </c>
      <c r="H7" s="162">
        <v>17648460000</v>
      </c>
      <c r="I7" s="161">
        <v>800000000</v>
      </c>
      <c r="J7" s="183"/>
    </row>
    <row r="8" spans="1:10" ht="63" x14ac:dyDescent="0.25">
      <c r="A8" s="180">
        <v>2</v>
      </c>
      <c r="B8" s="181" t="s">
        <v>516</v>
      </c>
      <c r="C8" s="162">
        <v>120000</v>
      </c>
      <c r="D8" s="162">
        <v>60000</v>
      </c>
      <c r="E8" s="183"/>
      <c r="F8" s="183"/>
      <c r="G8" s="183"/>
      <c r="H8" s="163"/>
      <c r="I8" s="161">
        <v>14000000000</v>
      </c>
      <c r="J8" s="183"/>
    </row>
    <row r="9" spans="1:10" ht="31.5" x14ac:dyDescent="0.25">
      <c r="A9" s="180">
        <v>3</v>
      </c>
      <c r="B9" s="181" t="s">
        <v>517</v>
      </c>
      <c r="C9" s="162">
        <v>80000</v>
      </c>
      <c r="D9" s="162">
        <v>40000</v>
      </c>
      <c r="E9" s="183"/>
      <c r="F9" s="183"/>
      <c r="G9" s="183"/>
      <c r="H9" s="163"/>
      <c r="I9" s="161">
        <v>200000000</v>
      </c>
      <c r="J9" s="183"/>
    </row>
    <row r="10" spans="1:10" ht="47.25" x14ac:dyDescent="0.25">
      <c r="A10" s="180">
        <v>4</v>
      </c>
      <c r="B10" s="180" t="s">
        <v>518</v>
      </c>
      <c r="C10" s="163" t="s">
        <v>519</v>
      </c>
      <c r="D10" s="163" t="s">
        <v>519</v>
      </c>
      <c r="E10" s="183"/>
      <c r="F10" s="183"/>
      <c r="G10" s="183"/>
      <c r="H10" s="163"/>
      <c r="I10" s="164"/>
      <c r="J10" s="183"/>
    </row>
    <row r="11" spans="1:10" ht="15.75" x14ac:dyDescent="0.25">
      <c r="A11" s="183"/>
      <c r="B11" s="179" t="s">
        <v>520</v>
      </c>
      <c r="C11" s="183"/>
      <c r="D11" s="183"/>
      <c r="E11" s="184"/>
      <c r="F11" s="184"/>
      <c r="G11" s="184"/>
      <c r="H11" s="185"/>
      <c r="I11" s="169">
        <f>SUM(I7:I10)</f>
        <v>15000000000</v>
      </c>
      <c r="J11" s="186"/>
    </row>
  </sheetData>
  <mergeCells count="12">
    <mergeCell ref="G5:G6"/>
    <mergeCell ref="H5:H6"/>
    <mergeCell ref="A2:J2"/>
    <mergeCell ref="A4:A6"/>
    <mergeCell ref="B4:B6"/>
    <mergeCell ref="C4:D4"/>
    <mergeCell ref="E4:H4"/>
    <mergeCell ref="I4:I6"/>
    <mergeCell ref="J4:J6"/>
    <mergeCell ref="D5:D6"/>
    <mergeCell ref="E5:E6"/>
    <mergeCell ref="F5:F6"/>
  </mergeCells>
  <pageMargins left="0.7" right="0.2"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workbookViewId="0">
      <selection activeCell="B11" sqref="B11"/>
    </sheetView>
  </sheetViews>
  <sheetFormatPr defaultColWidth="8.69921875" defaultRowHeight="15" x14ac:dyDescent="0.25"/>
  <cols>
    <col min="1" max="1" width="8.69921875" style="154"/>
    <col min="2" max="2" width="16.5" style="154" customWidth="1"/>
    <col min="3" max="3" width="9" style="154" customWidth="1"/>
    <col min="4" max="4" width="11" style="154" customWidth="1"/>
    <col min="5" max="7" width="12.5" style="154" customWidth="1"/>
    <col min="8" max="16384" width="8.69921875" style="154"/>
  </cols>
  <sheetData>
    <row r="1" spans="1:9" ht="24.75" customHeight="1" x14ac:dyDescent="0.25">
      <c r="A1" s="717" t="s">
        <v>521</v>
      </c>
      <c r="B1" s="717"/>
      <c r="C1" s="717"/>
      <c r="D1" s="717"/>
      <c r="E1" s="717"/>
      <c r="F1" s="717"/>
      <c r="G1" s="717"/>
      <c r="H1" s="717"/>
      <c r="I1" s="717"/>
    </row>
    <row r="2" spans="1:9" ht="15.75" x14ac:dyDescent="0.25">
      <c r="A2" s="717" t="s">
        <v>522</v>
      </c>
      <c r="B2" s="717"/>
      <c r="C2" s="717"/>
      <c r="D2" s="717"/>
      <c r="E2" s="717"/>
      <c r="F2" s="717"/>
      <c r="G2" s="717"/>
      <c r="H2" s="717"/>
      <c r="I2" s="717"/>
    </row>
    <row r="3" spans="1:9" ht="18.75" x14ac:dyDescent="0.25">
      <c r="A3" s="187"/>
    </row>
    <row r="4" spans="1:9" ht="15.75" x14ac:dyDescent="0.25">
      <c r="A4" s="715" t="s">
        <v>508</v>
      </c>
      <c r="B4" s="179" t="s">
        <v>523</v>
      </c>
      <c r="C4" s="715" t="s">
        <v>524</v>
      </c>
      <c r="D4" s="715"/>
      <c r="E4" s="715"/>
      <c r="F4" s="715"/>
      <c r="G4" s="179" t="s">
        <v>525</v>
      </c>
      <c r="H4" s="715" t="s">
        <v>526</v>
      </c>
      <c r="I4" s="715" t="s">
        <v>24</v>
      </c>
    </row>
    <row r="5" spans="1:9" ht="15.75" x14ac:dyDescent="0.25">
      <c r="A5" s="715"/>
      <c r="B5" s="179" t="s">
        <v>527</v>
      </c>
      <c r="C5" s="180">
        <v>2021</v>
      </c>
      <c r="D5" s="180">
        <v>2022</v>
      </c>
      <c r="E5" s="180">
        <v>2023</v>
      </c>
      <c r="F5" s="180">
        <v>2024</v>
      </c>
      <c r="G5" s="179" t="s">
        <v>528</v>
      </c>
      <c r="H5" s="715"/>
      <c r="I5" s="715"/>
    </row>
    <row r="6" spans="1:9" ht="15.75" x14ac:dyDescent="0.25">
      <c r="A6" s="180">
        <v>1</v>
      </c>
      <c r="B6" s="183" t="s">
        <v>529</v>
      </c>
      <c r="C6" s="188">
        <v>516020541</v>
      </c>
      <c r="D6" s="188">
        <v>2380001308</v>
      </c>
      <c r="E6" s="188">
        <v>3792724943</v>
      </c>
      <c r="F6" s="188">
        <v>7312791293</v>
      </c>
      <c r="G6" s="189">
        <v>9326000000</v>
      </c>
      <c r="H6" s="721">
        <v>1</v>
      </c>
      <c r="I6" s="180"/>
    </row>
    <row r="7" spans="1:9" x14ac:dyDescent="0.25">
      <c r="A7" s="722">
        <v>2</v>
      </c>
      <c r="B7" s="723" t="s">
        <v>530</v>
      </c>
      <c r="C7" s="190"/>
      <c r="D7" s="190"/>
      <c r="E7" s="190"/>
      <c r="F7" s="190"/>
      <c r="G7" s="191"/>
      <c r="H7" s="721"/>
      <c r="I7" s="723"/>
    </row>
    <row r="8" spans="1:9" x14ac:dyDescent="0.25">
      <c r="A8" s="722"/>
      <c r="B8" s="723"/>
      <c r="C8" s="188">
        <v>61499300</v>
      </c>
      <c r="D8" s="188">
        <v>1136509170</v>
      </c>
      <c r="E8" s="188">
        <v>2434225544</v>
      </c>
      <c r="F8" s="188">
        <v>3147336584</v>
      </c>
      <c r="G8" s="189">
        <v>1863000000</v>
      </c>
      <c r="H8" s="721"/>
      <c r="I8" s="723"/>
    </row>
    <row r="9" spans="1:9" ht="31.5" x14ac:dyDescent="0.25">
      <c r="A9" s="180">
        <v>3</v>
      </c>
      <c r="B9" s="183" t="s">
        <v>531</v>
      </c>
      <c r="C9" s="190"/>
      <c r="D9" s="190"/>
      <c r="E9" s="192"/>
      <c r="F9" s="189">
        <v>203700000</v>
      </c>
      <c r="G9" s="189">
        <v>161000000</v>
      </c>
      <c r="H9" s="721"/>
      <c r="I9" s="180" t="s">
        <v>532</v>
      </c>
    </row>
    <row r="10" spans="1:9" ht="31.5" x14ac:dyDescent="0.25">
      <c r="A10" s="180">
        <v>4</v>
      </c>
      <c r="B10" s="183" t="s">
        <v>533</v>
      </c>
      <c r="C10" s="190"/>
      <c r="D10" s="188">
        <v>1265180560</v>
      </c>
      <c r="E10" s="188">
        <v>3490988999</v>
      </c>
      <c r="F10" s="188">
        <v>2758705363</v>
      </c>
      <c r="G10" s="189">
        <v>1650000000</v>
      </c>
      <c r="H10" s="721"/>
      <c r="I10" s="183"/>
    </row>
    <row r="11" spans="1:9" ht="15.75" x14ac:dyDescent="0.25">
      <c r="A11" s="180">
        <v>5</v>
      </c>
      <c r="B11" s="183" t="s">
        <v>534</v>
      </c>
      <c r="C11" s="190"/>
      <c r="D11" s="188">
        <v>3431828962</v>
      </c>
      <c r="E11" s="188">
        <v>4736380514</v>
      </c>
      <c r="F11" s="188">
        <v>4225926760</v>
      </c>
      <c r="G11" s="189">
        <v>2000000000</v>
      </c>
      <c r="H11" s="721"/>
      <c r="I11" s="183"/>
    </row>
    <row r="12" spans="1:9" ht="15.75" x14ac:dyDescent="0.25">
      <c r="A12" s="180"/>
      <c r="B12" s="193" t="s">
        <v>22</v>
      </c>
      <c r="C12" s="194">
        <f>SUM(C6:C11)</f>
        <v>577519841</v>
      </c>
      <c r="D12" s="194">
        <f>SUM(D6:D11)</f>
        <v>8213520000</v>
      </c>
      <c r="E12" s="194">
        <f>SUM(E6:E11)</f>
        <v>14454320000</v>
      </c>
      <c r="F12" s="194">
        <f>SUM(F6:F11)</f>
        <v>17648460000</v>
      </c>
      <c r="G12" s="194">
        <f>SUM(G6:G11)</f>
        <v>15000000000</v>
      </c>
      <c r="H12" s="195"/>
      <c r="I12" s="196"/>
    </row>
  </sheetData>
  <mergeCells count="10">
    <mergeCell ref="H6:H11"/>
    <mergeCell ref="A7:A8"/>
    <mergeCell ref="B7:B8"/>
    <mergeCell ref="I7:I8"/>
    <mergeCell ref="A1:I1"/>
    <mergeCell ref="A2:I2"/>
    <mergeCell ref="A4:A5"/>
    <mergeCell ref="C4:F4"/>
    <mergeCell ref="H4:H5"/>
    <mergeCell ref="I4:I5"/>
  </mergeCells>
  <pageMargins left="0.7" right="0.7" top="0.75" bottom="0.75" header="0.3" footer="0.3"/>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
  <sheetViews>
    <sheetView workbookViewId="0">
      <selection activeCell="I7" sqref="I7"/>
    </sheetView>
  </sheetViews>
  <sheetFormatPr defaultColWidth="8.69921875" defaultRowHeight="15" x14ac:dyDescent="0.25"/>
  <cols>
    <col min="1" max="1" width="4.296875" style="154" customWidth="1"/>
    <col min="2" max="2" width="26" style="154" customWidth="1"/>
    <col min="3" max="3" width="15.19921875" style="154" customWidth="1"/>
    <col min="4" max="4" width="17.5" style="154" customWidth="1"/>
    <col min="5" max="16384" width="8.69921875" style="154"/>
  </cols>
  <sheetData>
    <row r="2" spans="1:7" ht="18.75" x14ac:dyDescent="0.25">
      <c r="A2" s="724" t="s">
        <v>535</v>
      </c>
      <c r="B2" s="724"/>
      <c r="C2" s="724"/>
      <c r="D2" s="724"/>
      <c r="E2" s="724"/>
      <c r="F2" s="724"/>
      <c r="G2" s="724"/>
    </row>
    <row r="3" spans="1:7" ht="18.75" x14ac:dyDescent="0.25">
      <c r="A3" s="197"/>
      <c r="B3" s="197"/>
      <c r="C3" s="197"/>
      <c r="D3" s="197"/>
      <c r="E3" s="197"/>
      <c r="F3" s="197"/>
      <c r="G3" s="197"/>
    </row>
    <row r="4" spans="1:7" ht="42" customHeight="1" x14ac:dyDescent="0.25">
      <c r="A4" s="725" t="s">
        <v>508</v>
      </c>
      <c r="B4" s="725" t="s">
        <v>509</v>
      </c>
      <c r="C4" s="725" t="s">
        <v>536</v>
      </c>
      <c r="D4" s="725" t="s">
        <v>537</v>
      </c>
      <c r="E4" s="725"/>
      <c r="F4" s="725" t="s">
        <v>538</v>
      </c>
      <c r="G4" s="725"/>
    </row>
    <row r="5" spans="1:7" ht="18.75" x14ac:dyDescent="0.25">
      <c r="A5" s="725"/>
      <c r="B5" s="725"/>
      <c r="C5" s="725"/>
      <c r="D5" s="198" t="s">
        <v>539</v>
      </c>
      <c r="E5" s="198" t="s">
        <v>540</v>
      </c>
      <c r="F5" s="198" t="s">
        <v>539</v>
      </c>
      <c r="G5" s="198" t="s">
        <v>540</v>
      </c>
    </row>
    <row r="6" spans="1:7" ht="37.5" x14ac:dyDescent="0.25">
      <c r="A6" s="199">
        <v>1</v>
      </c>
      <c r="B6" s="200" t="s">
        <v>515</v>
      </c>
      <c r="C6" s="161">
        <v>800000000</v>
      </c>
      <c r="D6" s="161">
        <v>800000000</v>
      </c>
      <c r="E6" s="199">
        <v>100</v>
      </c>
      <c r="F6" s="199"/>
      <c r="G6" s="199"/>
    </row>
    <row r="7" spans="1:7" ht="56.25" x14ac:dyDescent="0.25">
      <c r="A7" s="199">
        <v>2</v>
      </c>
      <c r="B7" s="200" t="s">
        <v>516</v>
      </c>
      <c r="C7" s="161">
        <v>14000000000</v>
      </c>
      <c r="D7" s="161">
        <v>14000000000</v>
      </c>
      <c r="E7" s="199">
        <v>100</v>
      </c>
      <c r="F7" s="199"/>
      <c r="G7" s="199"/>
    </row>
    <row r="8" spans="1:7" ht="37.5" x14ac:dyDescent="0.25">
      <c r="A8" s="199">
        <v>3</v>
      </c>
      <c r="B8" s="200" t="s">
        <v>517</v>
      </c>
      <c r="C8" s="161">
        <v>200000000</v>
      </c>
      <c r="D8" s="161">
        <v>200000000</v>
      </c>
      <c r="E8" s="199">
        <v>100</v>
      </c>
      <c r="F8" s="199"/>
      <c r="G8" s="199"/>
    </row>
    <row r="9" spans="1:7" ht="48.75" customHeight="1" x14ac:dyDescent="0.25">
      <c r="A9" s="199">
        <v>4</v>
      </c>
      <c r="B9" s="200" t="s">
        <v>541</v>
      </c>
      <c r="C9" s="201">
        <v>0</v>
      </c>
      <c r="D9" s="201">
        <v>0</v>
      </c>
      <c r="E9" s="202">
        <v>100</v>
      </c>
      <c r="F9" s="199"/>
      <c r="G9" s="199"/>
    </row>
    <row r="10" spans="1:7" ht="18.75" x14ac:dyDescent="0.25">
      <c r="A10" s="198"/>
      <c r="B10" s="198" t="s">
        <v>520</v>
      </c>
      <c r="C10" s="203">
        <f>SUM(C6:C9)</f>
        <v>15000000000</v>
      </c>
      <c r="D10" s="203">
        <f>SUM(D6:D9)</f>
        <v>15000000000</v>
      </c>
      <c r="E10" s="203"/>
      <c r="F10" s="203"/>
      <c r="G10" s="203"/>
    </row>
  </sheetData>
  <mergeCells count="6">
    <mergeCell ref="A2:G2"/>
    <mergeCell ref="A4:A5"/>
    <mergeCell ref="B4:B5"/>
    <mergeCell ref="C4:C5"/>
    <mergeCell ref="D4:E4"/>
    <mergeCell ref="F4:G4"/>
  </mergeCells>
  <pageMargins left="0.86" right="0.7" top="0.75" bottom="0.75" header="0.3" footer="0.3"/>
  <pageSetup paperSize="9" scale="11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14"/>
  <sheetViews>
    <sheetView topLeftCell="A4" zoomScale="85" zoomScaleNormal="85" workbookViewId="0">
      <selection activeCell="A2" sqref="A2:G2"/>
    </sheetView>
  </sheetViews>
  <sheetFormatPr defaultColWidth="6.59765625" defaultRowHeight="15" x14ac:dyDescent="0.25"/>
  <cols>
    <col min="1" max="1" width="6.59765625" style="206"/>
    <col min="2" max="2" width="37.8984375" style="215" customWidth="1"/>
    <col min="3" max="3" width="15.69921875" style="206" customWidth="1"/>
    <col min="4" max="4" width="3.5" style="206" customWidth="1"/>
    <col min="5" max="5" width="10.19921875" style="206" customWidth="1"/>
    <col min="6" max="6" width="11" style="209" customWidth="1"/>
    <col min="7" max="7" width="9.296875" style="206" customWidth="1"/>
    <col min="8" max="16384" width="6.59765625" style="206"/>
  </cols>
  <sheetData>
    <row r="1" spans="1:10" x14ac:dyDescent="0.25">
      <c r="A1" s="204"/>
      <c r="B1" s="205"/>
      <c r="C1" s="204"/>
      <c r="D1" s="204"/>
      <c r="E1" s="204"/>
      <c r="F1" s="727" t="s">
        <v>612</v>
      </c>
      <c r="G1" s="727"/>
    </row>
    <row r="2" spans="1:10" ht="62.25" customHeight="1" x14ac:dyDescent="0.25">
      <c r="A2" s="728" t="s">
        <v>983</v>
      </c>
      <c r="B2" s="728"/>
      <c r="C2" s="728"/>
      <c r="D2" s="728"/>
      <c r="E2" s="728"/>
      <c r="F2" s="728"/>
      <c r="G2" s="728"/>
    </row>
    <row r="3" spans="1:10" x14ac:dyDescent="0.25">
      <c r="A3" s="204"/>
      <c r="B3" s="205"/>
      <c r="C3" s="204"/>
      <c r="D3" s="204"/>
      <c r="E3" s="204"/>
      <c r="F3" s="207"/>
      <c r="G3" s="204"/>
    </row>
    <row r="4" spans="1:10" x14ac:dyDescent="0.25">
      <c r="A4" s="204"/>
      <c r="B4" s="205"/>
      <c r="C4" s="204"/>
      <c r="D4" s="204"/>
      <c r="E4" s="204"/>
      <c r="F4" s="729" t="s">
        <v>63</v>
      </c>
      <c r="G4" s="729"/>
    </row>
    <row r="5" spans="1:10" ht="15" customHeight="1" x14ac:dyDescent="0.25">
      <c r="A5" s="730" t="s">
        <v>6</v>
      </c>
      <c r="B5" s="730" t="s">
        <v>509</v>
      </c>
      <c r="C5" s="731" t="s">
        <v>510</v>
      </c>
      <c r="D5" s="731"/>
      <c r="E5" s="731"/>
      <c r="F5" s="730" t="s">
        <v>542</v>
      </c>
      <c r="G5" s="730"/>
    </row>
    <row r="6" spans="1:10" x14ac:dyDescent="0.25">
      <c r="A6" s="730"/>
      <c r="B6" s="730"/>
      <c r="C6" s="732" t="s">
        <v>543</v>
      </c>
      <c r="D6" s="732"/>
      <c r="E6" s="732"/>
      <c r="F6" s="730"/>
      <c r="G6" s="730"/>
    </row>
    <row r="7" spans="1:10" ht="45.75" customHeight="1" x14ac:dyDescent="0.25">
      <c r="A7" s="730"/>
      <c r="B7" s="730"/>
      <c r="C7" s="730" t="s">
        <v>544</v>
      </c>
      <c r="D7" s="730"/>
      <c r="E7" s="730"/>
      <c r="F7" s="730"/>
      <c r="G7" s="730"/>
    </row>
    <row r="8" spans="1:10" s="209" customFormat="1" ht="28.5" x14ac:dyDescent="0.3">
      <c r="A8" s="730"/>
      <c r="B8" s="730"/>
      <c r="C8" s="208" t="s">
        <v>514</v>
      </c>
      <c r="D8" s="730" t="s">
        <v>513</v>
      </c>
      <c r="E8" s="730"/>
      <c r="F8" s="208" t="s">
        <v>545</v>
      </c>
      <c r="G8" s="208" t="s">
        <v>546</v>
      </c>
    </row>
    <row r="9" spans="1:10" ht="32.25" customHeight="1" x14ac:dyDescent="0.25">
      <c r="A9" s="210">
        <v>1</v>
      </c>
      <c r="B9" s="211" t="s">
        <v>547</v>
      </c>
      <c r="C9" s="212">
        <v>120000</v>
      </c>
      <c r="D9" s="726">
        <v>60000</v>
      </c>
      <c r="E9" s="726"/>
      <c r="F9" s="210" t="s">
        <v>548</v>
      </c>
      <c r="G9" s="210" t="s">
        <v>549</v>
      </c>
      <c r="J9" s="213"/>
    </row>
    <row r="10" spans="1:10" ht="37.5" customHeight="1" x14ac:dyDescent="0.25">
      <c r="A10" s="210">
        <v>2</v>
      </c>
      <c r="B10" s="733" t="s">
        <v>550</v>
      </c>
      <c r="C10" s="733"/>
      <c r="D10" s="733"/>
      <c r="E10" s="733"/>
      <c r="F10" s="733"/>
      <c r="G10" s="733"/>
    </row>
    <row r="11" spans="1:10" ht="33.75" customHeight="1" x14ac:dyDescent="0.25">
      <c r="A11" s="210" t="s">
        <v>551</v>
      </c>
      <c r="B11" s="211" t="s">
        <v>552</v>
      </c>
      <c r="C11" s="212">
        <v>400000</v>
      </c>
      <c r="D11" s="734">
        <v>300000</v>
      </c>
      <c r="E11" s="735"/>
      <c r="F11" s="210" t="s">
        <v>553</v>
      </c>
      <c r="G11" s="210" t="s">
        <v>554</v>
      </c>
    </row>
    <row r="12" spans="1:10" ht="33.75" customHeight="1" x14ac:dyDescent="0.25">
      <c r="A12" s="210" t="s">
        <v>555</v>
      </c>
      <c r="B12" s="211" t="s">
        <v>556</v>
      </c>
      <c r="C12" s="212">
        <v>600000</v>
      </c>
      <c r="D12" s="734">
        <v>500000</v>
      </c>
      <c r="E12" s="735"/>
      <c r="F12" s="210" t="s">
        <v>557</v>
      </c>
      <c r="G12" s="210" t="s">
        <v>558</v>
      </c>
    </row>
    <row r="13" spans="1:10" ht="33.75" customHeight="1" x14ac:dyDescent="0.25">
      <c r="A13" s="210" t="s">
        <v>559</v>
      </c>
      <c r="B13" s="211" t="s">
        <v>560</v>
      </c>
      <c r="C13" s="212">
        <v>650000</v>
      </c>
      <c r="D13" s="734">
        <v>550000</v>
      </c>
      <c r="E13" s="735"/>
      <c r="F13" s="210"/>
      <c r="G13" s="214"/>
    </row>
    <row r="14" spans="1:10" ht="33.75" customHeight="1" x14ac:dyDescent="0.25">
      <c r="A14" s="210">
        <v>3</v>
      </c>
      <c r="B14" s="211" t="s">
        <v>561</v>
      </c>
      <c r="C14" s="212">
        <v>30000</v>
      </c>
      <c r="D14" s="726">
        <v>15000</v>
      </c>
      <c r="E14" s="726"/>
      <c r="F14" s="210"/>
      <c r="G14" s="210"/>
      <c r="J14" s="213"/>
    </row>
  </sheetData>
  <mergeCells count="16">
    <mergeCell ref="D14:E14"/>
    <mergeCell ref="F1:G1"/>
    <mergeCell ref="A2:G2"/>
    <mergeCell ref="F4:G4"/>
    <mergeCell ref="A5:A8"/>
    <mergeCell ref="B5:B8"/>
    <mergeCell ref="C5:E5"/>
    <mergeCell ref="F5:G7"/>
    <mergeCell ref="C6:E6"/>
    <mergeCell ref="C7:E7"/>
    <mergeCell ref="D8:E8"/>
    <mergeCell ref="D9:E9"/>
    <mergeCell ref="B10:G10"/>
    <mergeCell ref="D11:E11"/>
    <mergeCell ref="D12:E12"/>
    <mergeCell ref="D13:E13"/>
  </mergeCells>
  <pageMargins left="0.81" right="0.2" top="0.3" bottom="0.32" header="0.3" footer="0.3"/>
  <pageSetup paperSize="9" scale="10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1"/>
  <sheetViews>
    <sheetView topLeftCell="A13" zoomScale="70" zoomScaleNormal="70" workbookViewId="0">
      <selection activeCell="L26" sqref="L26"/>
    </sheetView>
  </sheetViews>
  <sheetFormatPr defaultColWidth="6.59765625" defaultRowHeight="15.75" x14ac:dyDescent="0.3"/>
  <cols>
    <col min="1" max="1" width="3.5" style="216" customWidth="1"/>
    <col min="2" max="2" width="27.5" style="217" customWidth="1"/>
    <col min="3" max="3" width="19.59765625" style="216" customWidth="1"/>
    <col min="4" max="4" width="6.69921875" style="216" customWidth="1"/>
    <col min="5" max="7" width="11" style="218" customWidth="1"/>
    <col min="8" max="8" width="13.59765625" style="218" customWidth="1"/>
    <col min="9" max="9" width="12.59765625" style="218" customWidth="1"/>
    <col min="10" max="10" width="10.19921875" style="216" customWidth="1"/>
    <col min="11" max="16384" width="6.59765625" style="216"/>
  </cols>
  <sheetData>
    <row r="1" spans="1:10" x14ac:dyDescent="0.3">
      <c r="H1" s="741" t="s">
        <v>613</v>
      </c>
      <c r="I1" s="741"/>
      <c r="J1" s="741"/>
    </row>
    <row r="2" spans="1:10" ht="24" customHeight="1" x14ac:dyDescent="0.3">
      <c r="A2" s="717" t="s">
        <v>984</v>
      </c>
      <c r="B2" s="717"/>
      <c r="C2" s="717"/>
      <c r="D2" s="717"/>
      <c r="E2" s="717"/>
      <c r="F2" s="717"/>
      <c r="G2" s="717"/>
      <c r="H2" s="717"/>
      <c r="I2" s="717"/>
      <c r="J2" s="717"/>
    </row>
    <row r="3" spans="1:10" x14ac:dyDescent="0.3">
      <c r="A3" s="166"/>
      <c r="B3" s="166"/>
      <c r="C3" s="166"/>
      <c r="D3" s="166"/>
      <c r="E3" s="166"/>
      <c r="F3" s="166"/>
      <c r="G3" s="166"/>
      <c r="H3" s="166"/>
      <c r="I3" s="166"/>
      <c r="J3" s="166"/>
    </row>
    <row r="4" spans="1:10" x14ac:dyDescent="0.25">
      <c r="H4" s="742" t="s">
        <v>562</v>
      </c>
      <c r="I4" s="742"/>
      <c r="J4" s="742"/>
    </row>
    <row r="5" spans="1:10" ht="41.25" customHeight="1" x14ac:dyDescent="0.3">
      <c r="A5" s="736" t="s">
        <v>344</v>
      </c>
      <c r="B5" s="736" t="s">
        <v>509</v>
      </c>
      <c r="C5" s="736" t="s">
        <v>563</v>
      </c>
      <c r="D5" s="736" t="s">
        <v>564</v>
      </c>
      <c r="E5" s="743"/>
      <c r="F5" s="743"/>
      <c r="G5" s="744"/>
      <c r="H5" s="745" t="s">
        <v>565</v>
      </c>
      <c r="I5" s="745" t="s">
        <v>566</v>
      </c>
      <c r="J5" s="736" t="s">
        <v>239</v>
      </c>
    </row>
    <row r="6" spans="1:10" ht="38.25" customHeight="1" x14ac:dyDescent="0.3">
      <c r="A6" s="737"/>
      <c r="B6" s="737"/>
      <c r="C6" s="737"/>
      <c r="D6" s="737"/>
      <c r="E6" s="219" t="s">
        <v>346</v>
      </c>
      <c r="F6" s="219" t="s">
        <v>219</v>
      </c>
      <c r="G6" s="219" t="s">
        <v>567</v>
      </c>
      <c r="H6" s="746"/>
      <c r="I6" s="746"/>
      <c r="J6" s="737"/>
    </row>
    <row r="7" spans="1:10" ht="30" customHeight="1" x14ac:dyDescent="0.3">
      <c r="A7" s="180">
        <v>1</v>
      </c>
      <c r="B7" s="220" t="s">
        <v>568</v>
      </c>
      <c r="C7" s="221" t="s">
        <v>569</v>
      </c>
      <c r="D7" s="180"/>
      <c r="E7" s="222">
        <f>SUBTOTAL(9,E8:E10)</f>
        <v>40513720</v>
      </c>
      <c r="F7" s="222">
        <f>SUBTOTAL(9,F8:F10)</f>
        <v>51468540</v>
      </c>
      <c r="G7" s="222">
        <f>SUBTOTAL(9,G8:G10)</f>
        <v>39246000</v>
      </c>
      <c r="H7" s="222">
        <f>SUBTOTAL(9,H8:H10)</f>
        <v>69186960</v>
      </c>
      <c r="I7" s="222">
        <f>SUBTOTAL(9,I8:I10)</f>
        <v>78920280</v>
      </c>
      <c r="J7" s="180"/>
    </row>
    <row r="8" spans="1:10" ht="23.25" customHeight="1" x14ac:dyDescent="0.3">
      <c r="A8" s="180"/>
      <c r="B8" s="223" t="s">
        <v>514</v>
      </c>
      <c r="C8" s="224"/>
      <c r="D8" s="225">
        <v>120</v>
      </c>
      <c r="E8" s="226">
        <v>38311920</v>
      </c>
      <c r="F8" s="226">
        <v>48762240</v>
      </c>
      <c r="G8" s="226">
        <v>36879600</v>
      </c>
      <c r="H8" s="226">
        <f>+'[8]bieu 02.1'!C24/1000</f>
        <v>64929480</v>
      </c>
      <c r="I8" s="226">
        <f>+'[8]bieu 02.2'!C23/1000</f>
        <v>71780280</v>
      </c>
      <c r="J8" s="180"/>
    </row>
    <row r="9" spans="1:10" ht="23.25" customHeight="1" x14ac:dyDescent="0.3">
      <c r="A9" s="180"/>
      <c r="B9" s="223" t="s">
        <v>570</v>
      </c>
      <c r="C9" s="224"/>
      <c r="D9" s="225">
        <v>60</v>
      </c>
      <c r="E9" s="226">
        <v>1813400</v>
      </c>
      <c r="F9" s="226">
        <v>2283980</v>
      </c>
      <c r="G9" s="226">
        <v>1815120</v>
      </c>
      <c r="H9" s="226">
        <f>+'[8]bieu 02.1'!E24/1000</f>
        <v>3427620</v>
      </c>
      <c r="I9" s="226">
        <f>+'[8]bieu 02.2'!E23/1000</f>
        <v>5610000</v>
      </c>
      <c r="J9" s="180"/>
    </row>
    <row r="10" spans="1:10" ht="23.25" customHeight="1" x14ac:dyDescent="0.3">
      <c r="A10" s="180"/>
      <c r="B10" s="227" t="s">
        <v>571</v>
      </c>
      <c r="C10" s="228"/>
      <c r="D10" s="225">
        <v>60</v>
      </c>
      <c r="E10" s="226">
        <v>388400</v>
      </c>
      <c r="F10" s="226">
        <v>422320</v>
      </c>
      <c r="G10" s="226">
        <v>551280</v>
      </c>
      <c r="H10" s="226">
        <f>+'[8]bieu 02.1'!G24/1000</f>
        <v>829860</v>
      </c>
      <c r="I10" s="226">
        <f>+'[8]bieu 02.2'!G23/1000</f>
        <v>1530000</v>
      </c>
      <c r="J10" s="180"/>
    </row>
    <row r="11" spans="1:10" ht="30" customHeight="1" x14ac:dyDescent="0.3">
      <c r="A11" s="180">
        <v>2</v>
      </c>
      <c r="B11" s="220" t="s">
        <v>561</v>
      </c>
      <c r="C11" s="221" t="s">
        <v>569</v>
      </c>
      <c r="D11" s="180"/>
      <c r="E11" s="222">
        <f>SUBTOTAL(9,E12:E13)</f>
        <v>18000</v>
      </c>
      <c r="F11" s="222">
        <f>SUBTOTAL(9,F12:F13)</f>
        <v>77000</v>
      </c>
      <c r="G11" s="222">
        <f>SUBTOTAL(9,G12:G13)</f>
        <v>13000</v>
      </c>
      <c r="H11" s="222">
        <f>SUBTOTAL(9,H12:H14)</f>
        <v>0</v>
      </c>
      <c r="I11" s="222">
        <f>SUBTOTAL(9,I12:I14)</f>
        <v>99900</v>
      </c>
      <c r="J11" s="180"/>
    </row>
    <row r="12" spans="1:10" ht="23.25" customHeight="1" x14ac:dyDescent="0.3">
      <c r="A12" s="180"/>
      <c r="B12" s="223" t="s">
        <v>514</v>
      </c>
      <c r="C12" s="224"/>
      <c r="D12" s="225">
        <v>30</v>
      </c>
      <c r="E12" s="226">
        <v>18000</v>
      </c>
      <c r="F12" s="226">
        <v>77000</v>
      </c>
      <c r="G12" s="226">
        <v>13000</v>
      </c>
      <c r="H12" s="226"/>
      <c r="I12" s="226">
        <f>+('[8]bieu 02.2'!I23+'[8]bieu 02.2'!K23)/1000</f>
        <v>99900</v>
      </c>
      <c r="J12" s="180"/>
    </row>
    <row r="13" spans="1:10" ht="23.25" customHeight="1" x14ac:dyDescent="0.3">
      <c r="A13" s="180"/>
      <c r="B13" s="223" t="s">
        <v>570</v>
      </c>
      <c r="C13" s="224"/>
      <c r="D13" s="225">
        <v>15</v>
      </c>
      <c r="E13" s="226"/>
      <c r="F13" s="226"/>
      <c r="G13" s="226"/>
      <c r="H13" s="226"/>
      <c r="I13" s="226"/>
      <c r="J13" s="180"/>
    </row>
    <row r="14" spans="1:10" ht="32.25" customHeight="1" x14ac:dyDescent="0.3">
      <c r="A14" s="229">
        <v>2</v>
      </c>
      <c r="B14" s="738" t="s">
        <v>572</v>
      </c>
      <c r="C14" s="739"/>
      <c r="D14" s="739"/>
      <c r="E14" s="739"/>
      <c r="F14" s="739"/>
      <c r="G14" s="739"/>
      <c r="H14" s="739"/>
      <c r="I14" s="739"/>
      <c r="J14" s="740"/>
    </row>
    <row r="15" spans="1:10" ht="32.25" customHeight="1" x14ac:dyDescent="0.3">
      <c r="A15" s="230" t="s">
        <v>551</v>
      </c>
      <c r="B15" s="220" t="s">
        <v>552</v>
      </c>
      <c r="C15" s="221" t="s">
        <v>569</v>
      </c>
      <c r="D15" s="231"/>
      <c r="E15" s="222">
        <f>SUBTOTAL(9,E16:E18)</f>
        <v>108837450</v>
      </c>
      <c r="F15" s="222">
        <f>SUBTOTAL(9,F16:F18)</f>
        <v>144806900</v>
      </c>
      <c r="G15" s="222">
        <f>SUBTOTAL(9,G16:G18)</f>
        <v>85324800</v>
      </c>
      <c r="H15" s="222">
        <f>SUBTOTAL(9,H16:H18)</f>
        <v>150135300</v>
      </c>
      <c r="I15" s="222">
        <f>SUBTOTAL(9,I16:I18)</f>
        <v>175532400</v>
      </c>
      <c r="J15" s="180"/>
    </row>
    <row r="16" spans="1:10" ht="25.5" customHeight="1" x14ac:dyDescent="0.3">
      <c r="A16" s="232" t="s">
        <v>282</v>
      </c>
      <c r="B16" s="223" t="s">
        <v>514</v>
      </c>
      <c r="C16" s="231"/>
      <c r="D16" s="231">
        <v>400</v>
      </c>
      <c r="E16" s="233">
        <v>102555000</v>
      </c>
      <c r="F16" s="233">
        <v>137833500</v>
      </c>
      <c r="G16" s="233">
        <v>81682400</v>
      </c>
      <c r="H16" s="233">
        <f>+'[8]bieu 02.1'!I24/1000</f>
        <v>142642000</v>
      </c>
      <c r="I16" s="233">
        <f>+'[8]bieu 02.2'!M23/1000</f>
        <v>164672000</v>
      </c>
      <c r="J16" s="180"/>
    </row>
    <row r="17" spans="1:10" ht="25.5" customHeight="1" x14ac:dyDescent="0.3">
      <c r="A17" s="232" t="s">
        <v>283</v>
      </c>
      <c r="B17" s="223" t="s">
        <v>570</v>
      </c>
      <c r="C17" s="231"/>
      <c r="D17" s="231">
        <v>300</v>
      </c>
      <c r="E17" s="233">
        <v>5901750</v>
      </c>
      <c r="F17" s="233">
        <v>6772050</v>
      </c>
      <c r="G17" s="233">
        <v>3543600</v>
      </c>
      <c r="H17" s="233">
        <f>+'[8]bieu 02.1'!K24/1000</f>
        <v>7286700</v>
      </c>
      <c r="I17" s="233">
        <f>+'[8]bieu 02.2'!O23/1000</f>
        <v>10560000</v>
      </c>
      <c r="J17" s="180"/>
    </row>
    <row r="18" spans="1:10" ht="25.5" customHeight="1" x14ac:dyDescent="0.3">
      <c r="A18" s="232" t="s">
        <v>287</v>
      </c>
      <c r="B18" s="227" t="s">
        <v>571</v>
      </c>
      <c r="C18" s="231"/>
      <c r="D18" s="231">
        <v>200</v>
      </c>
      <c r="E18" s="233">
        <v>380700</v>
      </c>
      <c r="F18" s="233">
        <v>201350</v>
      </c>
      <c r="G18" s="233">
        <v>98800</v>
      </c>
      <c r="H18" s="233">
        <f>+'[8]bieu 02.1'!M24/1000</f>
        <v>206600</v>
      </c>
      <c r="I18" s="233">
        <f>+'[8]bieu 02.2'!Q23/1000</f>
        <v>300400</v>
      </c>
      <c r="J18" s="180"/>
    </row>
    <row r="19" spans="1:10" ht="32.25" customHeight="1" x14ac:dyDescent="0.3">
      <c r="A19" s="230" t="s">
        <v>555</v>
      </c>
      <c r="B19" s="220" t="s">
        <v>556</v>
      </c>
      <c r="C19" s="221" t="s">
        <v>569</v>
      </c>
      <c r="D19" s="231"/>
      <c r="E19" s="222">
        <f>SUBTOTAL(9,E20:E22)</f>
        <v>26075300</v>
      </c>
      <c r="F19" s="222">
        <f>SUBTOTAL(9,F20:F22)</f>
        <v>33900625</v>
      </c>
      <c r="G19" s="222">
        <f>SUBTOTAL(9,G20:G22)</f>
        <v>22655000</v>
      </c>
      <c r="H19" s="222">
        <f>SUBTOTAL(9,H20:H22)</f>
        <v>39801900</v>
      </c>
      <c r="I19" s="222">
        <f>SUBTOTAL(9,I20:I22)</f>
        <v>44838920</v>
      </c>
      <c r="J19" s="180"/>
    </row>
    <row r="20" spans="1:10" ht="23.25" customHeight="1" x14ac:dyDescent="0.3">
      <c r="A20" s="232" t="s">
        <v>282</v>
      </c>
      <c r="B20" s="223" t="s">
        <v>514</v>
      </c>
      <c r="C20" s="231"/>
      <c r="D20" s="231">
        <v>600</v>
      </c>
      <c r="E20" s="233">
        <v>24691050</v>
      </c>
      <c r="F20" s="233">
        <v>32058750</v>
      </c>
      <c r="G20" s="233">
        <v>21577800</v>
      </c>
      <c r="H20" s="233">
        <f>+'[8]bieu 02.1'!O24/1000</f>
        <v>37256400</v>
      </c>
      <c r="I20" s="233">
        <f>+'[8]bieu 02.2'!S23/1000</f>
        <v>40979700</v>
      </c>
      <c r="J20" s="180"/>
    </row>
    <row r="21" spans="1:10" ht="23.25" customHeight="1" x14ac:dyDescent="0.3">
      <c r="A21" s="232" t="s">
        <v>283</v>
      </c>
      <c r="B21" s="223" t="s">
        <v>570</v>
      </c>
      <c r="C21" s="231"/>
      <c r="D21" s="231">
        <v>500</v>
      </c>
      <c r="E21" s="233">
        <v>1371650</v>
      </c>
      <c r="F21" s="233">
        <v>1835050</v>
      </c>
      <c r="G21" s="233">
        <v>1071500</v>
      </c>
      <c r="H21" s="233">
        <f>+'[8]bieu 02.1'!Q24/1000</f>
        <v>2530500</v>
      </c>
      <c r="I21" s="233">
        <f>+'[8]bieu 02.2'!U23/1000</f>
        <v>3828050</v>
      </c>
      <c r="J21" s="180"/>
    </row>
    <row r="22" spans="1:10" ht="23.25" customHeight="1" x14ac:dyDescent="0.3">
      <c r="A22" s="232" t="s">
        <v>287</v>
      </c>
      <c r="B22" s="227" t="s">
        <v>571</v>
      </c>
      <c r="C22" s="231"/>
      <c r="D22" s="231">
        <v>300</v>
      </c>
      <c r="E22" s="233">
        <v>12600</v>
      </c>
      <c r="F22" s="233">
        <v>6825</v>
      </c>
      <c r="G22" s="233">
        <v>5700</v>
      </c>
      <c r="H22" s="233">
        <f>+'[8]bieu 02.1'!S24/1000</f>
        <v>15000</v>
      </c>
      <c r="I22" s="233">
        <f>+'[8]bieu 02.2'!W23/1000</f>
        <v>31170</v>
      </c>
      <c r="J22" s="180"/>
    </row>
    <row r="23" spans="1:10" ht="38.25" customHeight="1" x14ac:dyDescent="0.3">
      <c r="A23" s="230" t="s">
        <v>559</v>
      </c>
      <c r="B23" s="220" t="s">
        <v>560</v>
      </c>
      <c r="C23" s="221" t="s">
        <v>569</v>
      </c>
      <c r="D23" s="231"/>
      <c r="E23" s="222">
        <f>SUBTOTAL(9,E24:E26)</f>
        <v>250800</v>
      </c>
      <c r="F23" s="222">
        <f>SUBTOTAL(9,F24:F26)</f>
        <v>447650</v>
      </c>
      <c r="G23" s="222">
        <f>SUBTOTAL(9,G24:G26)</f>
        <v>308800</v>
      </c>
      <c r="H23" s="222">
        <f>SUBTOTAL(9,H24:H26)</f>
        <v>875950</v>
      </c>
      <c r="I23" s="222">
        <f>SUBTOTAL(9,I24:I26)</f>
        <v>608500</v>
      </c>
      <c r="J23" s="180"/>
    </row>
    <row r="24" spans="1:10" ht="27.75" customHeight="1" x14ac:dyDescent="0.3">
      <c r="A24" s="232" t="s">
        <v>282</v>
      </c>
      <c r="B24" s="223" t="s">
        <v>514</v>
      </c>
      <c r="C24" s="231"/>
      <c r="D24" s="231">
        <v>650</v>
      </c>
      <c r="E24" s="233">
        <v>220000</v>
      </c>
      <c r="F24" s="233">
        <v>403700</v>
      </c>
      <c r="G24" s="233">
        <v>291200</v>
      </c>
      <c r="H24" s="233">
        <f>+'[8]bieu 02.1'!U24/1000</f>
        <v>842400</v>
      </c>
      <c r="I24" s="233">
        <f>+'[8]bieu 02.2'!Y23/1000</f>
        <v>559000</v>
      </c>
      <c r="J24" s="165"/>
    </row>
    <row r="25" spans="1:10" ht="27.75" customHeight="1" x14ac:dyDescent="0.3">
      <c r="A25" s="232" t="s">
        <v>283</v>
      </c>
      <c r="B25" s="227" t="s">
        <v>570</v>
      </c>
      <c r="C25" s="231"/>
      <c r="D25" s="231">
        <v>550</v>
      </c>
      <c r="E25" s="233">
        <v>30800</v>
      </c>
      <c r="F25" s="233">
        <v>43950</v>
      </c>
      <c r="G25" s="233">
        <v>17600</v>
      </c>
      <c r="H25" s="233">
        <f>+'[8]bieu 02.1'!W24/1000</f>
        <v>33550</v>
      </c>
      <c r="I25" s="233">
        <f>+'[8]bieu 02.2'!AA23/1000</f>
        <v>49500</v>
      </c>
      <c r="J25" s="165"/>
    </row>
    <row r="26" spans="1:10" ht="27.75" customHeight="1" x14ac:dyDescent="0.3">
      <c r="A26" s="232" t="s">
        <v>287</v>
      </c>
      <c r="B26" s="227" t="s">
        <v>571</v>
      </c>
      <c r="C26" s="231"/>
      <c r="D26" s="231">
        <v>325</v>
      </c>
      <c r="E26" s="233"/>
      <c r="F26" s="233"/>
      <c r="G26" s="233"/>
      <c r="H26" s="233"/>
      <c r="I26" s="233"/>
      <c r="J26" s="231"/>
    </row>
    <row r="27" spans="1:10" ht="35.25" customHeight="1" x14ac:dyDescent="0.3">
      <c r="A27" s="231"/>
      <c r="B27" s="234" t="s">
        <v>347</v>
      </c>
      <c r="C27" s="231"/>
      <c r="D27" s="231"/>
      <c r="E27" s="235">
        <f>SUBTOTAL(9,E7:E26)</f>
        <v>175695270</v>
      </c>
      <c r="F27" s="235">
        <f>SUBTOTAL(9,F7:F26)</f>
        <v>230700715</v>
      </c>
      <c r="G27" s="235">
        <f>SUBTOTAL(9,G7:G26)</f>
        <v>147547600</v>
      </c>
      <c r="H27" s="235">
        <f>SUBTOTAL(9,H7:H26)</f>
        <v>260000110</v>
      </c>
      <c r="I27" s="235">
        <f>SUBTOTAL(9,I7:I26)</f>
        <v>300000000</v>
      </c>
      <c r="J27" s="231"/>
    </row>
    <row r="29" spans="1:10" x14ac:dyDescent="0.3">
      <c r="J29" s="236"/>
    </row>
    <row r="31" spans="1:10" x14ac:dyDescent="0.3">
      <c r="H31" s="237"/>
      <c r="I31" s="237"/>
    </row>
  </sheetData>
  <mergeCells count="12">
    <mergeCell ref="J5:J6"/>
    <mergeCell ref="B14:J14"/>
    <mergeCell ref="H1:J1"/>
    <mergeCell ref="A2:J2"/>
    <mergeCell ref="H4:J4"/>
    <mergeCell ref="A5:A6"/>
    <mergeCell ref="B5:B6"/>
    <mergeCell ref="C5:C6"/>
    <mergeCell ref="D5:D6"/>
    <mergeCell ref="E5:G5"/>
    <mergeCell ref="H5:H6"/>
    <mergeCell ref="I5:I6"/>
  </mergeCells>
  <pageMargins left="0.63" right="0.17" top="0.49" bottom="0.22" header="0.3" footer="0.3"/>
  <pageSetup paperSize="9"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6"/>
  <sheetViews>
    <sheetView zoomScale="59" zoomScaleNormal="59" workbookViewId="0">
      <selection activeCell="A2" sqref="A2:X3"/>
    </sheetView>
  </sheetViews>
  <sheetFormatPr defaultColWidth="10.5" defaultRowHeight="15" customHeight="1" x14ac:dyDescent="0.25"/>
  <cols>
    <col min="1" max="1" width="7.5" style="241" bestFit="1" customWidth="1"/>
    <col min="2" max="2" width="7.796875" style="282" customWidth="1"/>
    <col min="3" max="3" width="12.296875" style="241" bestFit="1" customWidth="1"/>
    <col min="4" max="4" width="7" style="241" customWidth="1"/>
    <col min="5" max="5" width="11.5" style="241" bestFit="1" customWidth="1"/>
    <col min="6" max="6" width="7.19921875" style="282" customWidth="1"/>
    <col min="7" max="7" width="10.19921875" style="241" customWidth="1"/>
    <col min="8" max="8" width="6.5" style="241" customWidth="1"/>
    <col min="9" max="9" width="12.19921875" style="241" customWidth="1"/>
    <col min="10" max="10" width="6.3984375" style="241" customWidth="1"/>
    <col min="11" max="11" width="11.3984375" style="241" customWidth="1"/>
    <col min="12" max="12" width="7" style="241" customWidth="1"/>
    <col min="13" max="13" width="11.69921875" style="241" customWidth="1"/>
    <col min="14" max="14" width="6.296875" style="241" customWidth="1"/>
    <col min="15" max="15" width="12.296875" style="241" bestFit="1" customWidth="1"/>
    <col min="16" max="16" width="5.5" style="241" customWidth="1"/>
    <col min="17" max="17" width="10.3984375" style="241" customWidth="1"/>
    <col min="18" max="18" width="5.5" style="241" customWidth="1"/>
    <col min="19" max="19" width="10.3984375" style="241" customWidth="1"/>
    <col min="20" max="20" width="5.59765625" style="241" bestFit="1" customWidth="1"/>
    <col min="21" max="21" width="11.5" style="241" customWidth="1"/>
    <col min="22" max="22" width="5.69921875" style="241" customWidth="1"/>
    <col min="23" max="23" width="10.3984375" style="241" customWidth="1"/>
    <col min="24" max="24" width="12.5" style="241" customWidth="1"/>
    <col min="25" max="25" width="11.69921875" style="241" hidden="1" customWidth="1"/>
    <col min="26" max="26" width="13.296875" style="241" hidden="1" customWidth="1"/>
    <col min="27" max="27" width="13" style="241" hidden="1" customWidth="1"/>
    <col min="28" max="28" width="12.8984375" style="241" hidden="1" customWidth="1"/>
    <col min="29" max="16384" width="10.5" style="241"/>
  </cols>
  <sheetData>
    <row r="1" spans="1:28" ht="36.6" customHeight="1" x14ac:dyDescent="0.25">
      <c r="A1" s="238"/>
      <c r="B1" s="239"/>
      <c r="C1" s="239"/>
      <c r="D1" s="239"/>
      <c r="E1" s="239"/>
      <c r="F1" s="239"/>
      <c r="G1" s="239"/>
      <c r="H1" s="239"/>
      <c r="I1" s="239"/>
      <c r="J1" s="239"/>
      <c r="K1" s="239"/>
      <c r="L1" s="239"/>
      <c r="M1" s="239"/>
      <c r="N1" s="239"/>
      <c r="O1" s="239"/>
      <c r="P1" s="239"/>
      <c r="Q1" s="239"/>
      <c r="R1" s="239"/>
      <c r="S1" s="239"/>
      <c r="T1" s="239"/>
      <c r="U1" s="239"/>
      <c r="V1" s="239"/>
      <c r="W1" s="749" t="s">
        <v>616</v>
      </c>
      <c r="X1" s="749"/>
      <c r="Y1" s="240"/>
      <c r="Z1" s="240"/>
    </row>
    <row r="2" spans="1:28" ht="12.75" customHeight="1" x14ac:dyDescent="0.25">
      <c r="A2" s="750" t="s">
        <v>986</v>
      </c>
      <c r="B2" s="750"/>
      <c r="C2" s="750"/>
      <c r="D2" s="750"/>
      <c r="E2" s="750"/>
      <c r="F2" s="750"/>
      <c r="G2" s="750"/>
      <c r="H2" s="750"/>
      <c r="I2" s="750"/>
      <c r="J2" s="750"/>
      <c r="K2" s="750"/>
      <c r="L2" s="750"/>
      <c r="M2" s="750"/>
      <c r="N2" s="750"/>
      <c r="O2" s="750"/>
      <c r="P2" s="750"/>
      <c r="Q2" s="750"/>
      <c r="R2" s="750"/>
      <c r="S2" s="750"/>
      <c r="T2" s="750"/>
      <c r="U2" s="750"/>
      <c r="V2" s="750"/>
      <c r="W2" s="750"/>
      <c r="X2" s="750"/>
      <c r="Y2" s="240"/>
      <c r="Z2" s="240"/>
    </row>
    <row r="3" spans="1:28" ht="12.75" customHeight="1" x14ac:dyDescent="0.25">
      <c r="A3" s="750"/>
      <c r="B3" s="750"/>
      <c r="C3" s="750"/>
      <c r="D3" s="750"/>
      <c r="E3" s="750"/>
      <c r="F3" s="750"/>
      <c r="G3" s="750"/>
      <c r="H3" s="750"/>
      <c r="I3" s="750"/>
      <c r="J3" s="750"/>
      <c r="K3" s="750"/>
      <c r="L3" s="750"/>
      <c r="M3" s="750"/>
      <c r="N3" s="750"/>
      <c r="O3" s="750"/>
      <c r="P3" s="750"/>
      <c r="Q3" s="750"/>
      <c r="R3" s="750"/>
      <c r="S3" s="750"/>
      <c r="T3" s="750"/>
      <c r="U3" s="750"/>
      <c r="V3" s="750"/>
      <c r="W3" s="750"/>
      <c r="X3" s="750"/>
      <c r="Y3" s="240"/>
      <c r="Z3" s="240"/>
    </row>
    <row r="4" spans="1:28" ht="16.899999999999999" customHeight="1" x14ac:dyDescent="0.25">
      <c r="A4" s="751"/>
      <c r="B4" s="752"/>
      <c r="C4" s="752"/>
      <c r="D4" s="752"/>
      <c r="E4" s="752"/>
      <c r="F4" s="752"/>
      <c r="G4" s="752"/>
      <c r="H4" s="752"/>
      <c r="I4" s="752"/>
      <c r="J4" s="752"/>
      <c r="K4" s="752"/>
      <c r="L4" s="752"/>
      <c r="M4" s="752"/>
      <c r="N4" s="752"/>
      <c r="O4" s="752"/>
      <c r="P4" s="752"/>
      <c r="Q4" s="752"/>
      <c r="R4" s="752"/>
      <c r="S4" s="752"/>
      <c r="T4" s="752"/>
      <c r="U4" s="752"/>
      <c r="V4" s="752"/>
      <c r="W4" s="752"/>
      <c r="X4" s="753"/>
      <c r="Y4" s="240"/>
      <c r="Z4" s="240"/>
    </row>
    <row r="5" spans="1:28" ht="20.45" customHeight="1" x14ac:dyDescent="0.25">
      <c r="A5" s="242"/>
      <c r="B5" s="243"/>
      <c r="C5" s="244"/>
      <c r="D5" s="754"/>
      <c r="E5" s="755"/>
      <c r="F5" s="755"/>
      <c r="G5" s="755"/>
      <c r="H5" s="755"/>
      <c r="I5" s="755"/>
      <c r="J5" s="755"/>
      <c r="K5" s="755"/>
      <c r="L5" s="755"/>
      <c r="M5" s="755"/>
      <c r="N5" s="755"/>
      <c r="O5" s="755"/>
      <c r="P5" s="755"/>
      <c r="Q5" s="755"/>
      <c r="R5" s="755"/>
      <c r="S5" s="755"/>
      <c r="T5" s="284"/>
      <c r="U5" s="284"/>
      <c r="V5" s="284"/>
      <c r="W5" s="756" t="s">
        <v>351</v>
      </c>
      <c r="X5" s="756"/>
      <c r="Y5" s="245"/>
      <c r="Z5" s="245"/>
    </row>
    <row r="6" spans="1:28" ht="36" customHeight="1" x14ac:dyDescent="0.25">
      <c r="A6" s="757" t="s">
        <v>573</v>
      </c>
      <c r="B6" s="747" t="s">
        <v>574</v>
      </c>
      <c r="C6" s="748"/>
      <c r="D6" s="748"/>
      <c r="E6" s="748"/>
      <c r="F6" s="747" t="s">
        <v>575</v>
      </c>
      <c r="G6" s="748"/>
      <c r="H6" s="747" t="s">
        <v>576</v>
      </c>
      <c r="I6" s="748"/>
      <c r="J6" s="748"/>
      <c r="K6" s="748"/>
      <c r="L6" s="748"/>
      <c r="M6" s="748"/>
      <c r="N6" s="747" t="s">
        <v>577</v>
      </c>
      <c r="O6" s="747"/>
      <c r="P6" s="747"/>
      <c r="Q6" s="747"/>
      <c r="R6" s="747"/>
      <c r="S6" s="747"/>
      <c r="T6" s="747" t="s">
        <v>578</v>
      </c>
      <c r="U6" s="747"/>
      <c r="V6" s="747"/>
      <c r="W6" s="747"/>
      <c r="X6" s="747" t="s">
        <v>347</v>
      </c>
      <c r="Y6" s="240"/>
      <c r="Z6" s="240"/>
    </row>
    <row r="7" spans="1:28" s="250" customFormat="1" ht="42" customHeight="1" x14ac:dyDescent="0.2">
      <c r="A7" s="748"/>
      <c r="B7" s="246" t="s">
        <v>579</v>
      </c>
      <c r="C7" s="246" t="s">
        <v>580</v>
      </c>
      <c r="D7" s="246" t="s">
        <v>581</v>
      </c>
      <c r="E7" s="246" t="s">
        <v>582</v>
      </c>
      <c r="F7" s="246" t="s">
        <v>579</v>
      </c>
      <c r="G7" s="246" t="s">
        <v>582</v>
      </c>
      <c r="H7" s="246" t="s">
        <v>579</v>
      </c>
      <c r="I7" s="246" t="s">
        <v>583</v>
      </c>
      <c r="J7" s="246" t="s">
        <v>581</v>
      </c>
      <c r="K7" s="246" t="s">
        <v>584</v>
      </c>
      <c r="L7" s="247" t="s">
        <v>585</v>
      </c>
      <c r="M7" s="246" t="s">
        <v>586</v>
      </c>
      <c r="N7" s="246" t="s">
        <v>579</v>
      </c>
      <c r="O7" s="246" t="s">
        <v>587</v>
      </c>
      <c r="P7" s="246" t="s">
        <v>581</v>
      </c>
      <c r="Q7" s="246" t="s">
        <v>588</v>
      </c>
      <c r="R7" s="247" t="s">
        <v>585</v>
      </c>
      <c r="S7" s="246" t="s">
        <v>584</v>
      </c>
      <c r="T7" s="246" t="s">
        <v>579</v>
      </c>
      <c r="U7" s="246" t="s">
        <v>589</v>
      </c>
      <c r="V7" s="246" t="s">
        <v>581</v>
      </c>
      <c r="W7" s="246" t="s">
        <v>590</v>
      </c>
      <c r="X7" s="748"/>
      <c r="Y7" s="248"/>
      <c r="Z7" s="248"/>
      <c r="AA7" s="249" t="s">
        <v>591</v>
      </c>
      <c r="AB7" s="249" t="s">
        <v>592</v>
      </c>
    </row>
    <row r="8" spans="1:28" s="258" customFormat="1" ht="39.75" customHeight="1" x14ac:dyDescent="0.3">
      <c r="A8" s="251" t="s">
        <v>593</v>
      </c>
      <c r="B8" s="252">
        <v>15932</v>
      </c>
      <c r="C8" s="253">
        <f t="shared" ref="C8:C10" si="0">B8*120000</f>
        <v>1911840000</v>
      </c>
      <c r="D8" s="252">
        <v>363</v>
      </c>
      <c r="E8" s="253">
        <f t="shared" ref="E8:E10" si="1">D8*60000</f>
        <v>21780000</v>
      </c>
      <c r="F8" s="254">
        <v>24</v>
      </c>
      <c r="G8" s="255">
        <f t="shared" ref="G8:G10" si="2">F8*60000</f>
        <v>1440000</v>
      </c>
      <c r="H8" s="254">
        <v>30901</v>
      </c>
      <c r="I8" s="253">
        <f t="shared" ref="I8:I10" si="3">H8*400000</f>
        <v>12360400000</v>
      </c>
      <c r="J8" s="254">
        <v>1522</v>
      </c>
      <c r="K8" s="253">
        <f t="shared" ref="K8:K10" si="4">J8*300000</f>
        <v>456600000</v>
      </c>
      <c r="L8" s="254">
        <v>27</v>
      </c>
      <c r="M8" s="253">
        <f t="shared" ref="M8:M10" si="5">L8*200000</f>
        <v>5400000</v>
      </c>
      <c r="N8" s="254">
        <v>6124</v>
      </c>
      <c r="O8" s="253">
        <f t="shared" ref="O8:O10" si="6">N8*600000</f>
        <v>3674400000</v>
      </c>
      <c r="P8" s="254">
        <v>373</v>
      </c>
      <c r="Q8" s="253">
        <f>+P8*500000</f>
        <v>186500000</v>
      </c>
      <c r="R8" s="254">
        <v>9</v>
      </c>
      <c r="S8" s="253">
        <f t="shared" ref="S8:S10" si="7">+R8*300000</f>
        <v>2700000</v>
      </c>
      <c r="T8" s="254">
        <v>39</v>
      </c>
      <c r="U8" s="253">
        <f t="shared" ref="U8:U10" si="8">+T8*650000</f>
        <v>25350000</v>
      </c>
      <c r="V8" s="254">
        <v>2</v>
      </c>
      <c r="W8" s="253">
        <f t="shared" ref="W8:W10" si="9">V8*550000</f>
        <v>1100000</v>
      </c>
      <c r="X8" s="253">
        <f>+C8+E8+G8+I8+K8+M8+O8+S8+U8+W8+Q8</f>
        <v>18647510000</v>
      </c>
      <c r="Y8" s="256" t="e">
        <f>+C8+E8+#REF!+G8+#REF!+#REF!+#REF!+#REF!+#REF!</f>
        <v>#REF!</v>
      </c>
      <c r="Z8" s="256" t="e">
        <f>+I8+K8+M8+O8+S8+#REF!</f>
        <v>#REF!</v>
      </c>
      <c r="AA8" s="257">
        <f>+C8+E8+G8</f>
        <v>1935060000</v>
      </c>
      <c r="AB8" s="257">
        <f>+K8+I8+M8+O8+S8+U8+W8+Q8</f>
        <v>16712450000</v>
      </c>
    </row>
    <row r="9" spans="1:28" s="260" customFormat="1" ht="39.75" customHeight="1" x14ac:dyDescent="0.3">
      <c r="A9" s="259" t="s">
        <v>594</v>
      </c>
      <c r="B9" s="252">
        <v>15448</v>
      </c>
      <c r="C9" s="253">
        <f t="shared" si="0"/>
        <v>1853760000</v>
      </c>
      <c r="D9" s="252">
        <v>321</v>
      </c>
      <c r="E9" s="253">
        <f t="shared" si="1"/>
        <v>19260000</v>
      </c>
      <c r="F9" s="254">
        <v>88</v>
      </c>
      <c r="G9" s="255">
        <f t="shared" si="2"/>
        <v>5280000</v>
      </c>
      <c r="H9" s="254">
        <v>34134</v>
      </c>
      <c r="I9" s="253">
        <f t="shared" si="3"/>
        <v>13653600000</v>
      </c>
      <c r="J9" s="254">
        <v>893</v>
      </c>
      <c r="K9" s="253">
        <f t="shared" si="4"/>
        <v>267900000</v>
      </c>
      <c r="L9" s="254">
        <v>24</v>
      </c>
      <c r="M9" s="253">
        <f t="shared" si="5"/>
        <v>4800000</v>
      </c>
      <c r="N9" s="254">
        <v>5578</v>
      </c>
      <c r="O9" s="253">
        <f t="shared" si="6"/>
        <v>3346800000</v>
      </c>
      <c r="P9" s="254">
        <v>111</v>
      </c>
      <c r="Q9" s="253">
        <f>+P9*500000</f>
        <v>55500000</v>
      </c>
      <c r="R9" s="254">
        <v>3</v>
      </c>
      <c r="S9" s="253">
        <f t="shared" si="7"/>
        <v>900000</v>
      </c>
      <c r="T9" s="254">
        <v>51</v>
      </c>
      <c r="U9" s="253">
        <f t="shared" si="8"/>
        <v>33150000</v>
      </c>
      <c r="V9" s="254">
        <v>4</v>
      </c>
      <c r="W9" s="253">
        <f t="shared" si="9"/>
        <v>2200000</v>
      </c>
      <c r="X9" s="253">
        <f t="shared" ref="X9:X22" si="10">+C9+E9+G9+I9+K9+M9+O9+S9+U9+W9+Q9</f>
        <v>19243150000</v>
      </c>
      <c r="Y9" s="256" t="e">
        <f>+C9+E9+#REF!+G9+#REF!+#REF!+#REF!+#REF!+#REF!</f>
        <v>#REF!</v>
      </c>
      <c r="Z9" s="256" t="e">
        <f>+I9+K9+M9+O9+S9+#REF!</f>
        <v>#REF!</v>
      </c>
      <c r="AA9" s="257">
        <f>+C9+E9+G9</f>
        <v>1878300000</v>
      </c>
      <c r="AB9" s="257">
        <f t="shared" ref="AB9:AB10" si="11">+K9+I9+M9+O9+S9+U9+W9+Q9</f>
        <v>17364850000</v>
      </c>
    </row>
    <row r="10" spans="1:28" s="260" customFormat="1" ht="39.75" customHeight="1" x14ac:dyDescent="0.3">
      <c r="A10" s="251" t="s">
        <v>595</v>
      </c>
      <c r="B10" s="252">
        <v>25670</v>
      </c>
      <c r="C10" s="253">
        <f t="shared" si="0"/>
        <v>3080400000</v>
      </c>
      <c r="D10" s="252">
        <v>384</v>
      </c>
      <c r="E10" s="253">
        <f t="shared" si="1"/>
        <v>23040000</v>
      </c>
      <c r="F10" s="254">
        <v>298</v>
      </c>
      <c r="G10" s="255">
        <f t="shared" si="2"/>
        <v>17880000</v>
      </c>
      <c r="H10" s="254">
        <v>43066</v>
      </c>
      <c r="I10" s="253">
        <f t="shared" si="3"/>
        <v>17226400000</v>
      </c>
      <c r="J10" s="254">
        <v>1270</v>
      </c>
      <c r="K10" s="253">
        <f t="shared" si="4"/>
        <v>381000000</v>
      </c>
      <c r="L10" s="254">
        <v>32</v>
      </c>
      <c r="M10" s="253">
        <f t="shared" si="5"/>
        <v>6400000</v>
      </c>
      <c r="N10" s="254">
        <v>7936</v>
      </c>
      <c r="O10" s="253">
        <f t="shared" si="6"/>
        <v>4761600000</v>
      </c>
      <c r="P10" s="254">
        <v>278</v>
      </c>
      <c r="Q10" s="253">
        <f>+P10*500000</f>
        <v>139000000</v>
      </c>
      <c r="R10" s="254">
        <v>3</v>
      </c>
      <c r="S10" s="253">
        <f t="shared" si="7"/>
        <v>900000</v>
      </c>
      <c r="T10" s="254">
        <v>77</v>
      </c>
      <c r="U10" s="253">
        <f t="shared" si="8"/>
        <v>50050000</v>
      </c>
      <c r="V10" s="254">
        <v>1</v>
      </c>
      <c r="W10" s="253">
        <f t="shared" si="9"/>
        <v>550000</v>
      </c>
      <c r="X10" s="253">
        <f t="shared" si="10"/>
        <v>25687220000</v>
      </c>
      <c r="Y10" s="256" t="e">
        <f>+C10+E10+#REF!+G10+#REF!+#REF!+#REF!+#REF!+#REF!</f>
        <v>#REF!</v>
      </c>
      <c r="Z10" s="256" t="e">
        <f>+I10+K10+M10+O10+S10+#REF!</f>
        <v>#REF!</v>
      </c>
      <c r="AA10" s="257">
        <f>+C10+E10+G10</f>
        <v>3121320000</v>
      </c>
      <c r="AB10" s="257">
        <f t="shared" si="11"/>
        <v>22565900000</v>
      </c>
    </row>
    <row r="11" spans="1:28" s="292" customFormat="1" ht="42" customHeight="1" x14ac:dyDescent="0.2">
      <c r="A11" s="288" t="s">
        <v>596</v>
      </c>
      <c r="B11" s="289">
        <f>SUBTOTAL(9,B8:B10)</f>
        <v>57050</v>
      </c>
      <c r="C11" s="289">
        <f t="shared" ref="C11:AB11" si="12">SUBTOTAL(9,C8:C10)</f>
        <v>6846000000</v>
      </c>
      <c r="D11" s="289">
        <f t="shared" si="12"/>
        <v>1068</v>
      </c>
      <c r="E11" s="289">
        <f t="shared" si="12"/>
        <v>64080000</v>
      </c>
      <c r="F11" s="289">
        <f t="shared" si="12"/>
        <v>410</v>
      </c>
      <c r="G11" s="289">
        <f t="shared" si="12"/>
        <v>24600000</v>
      </c>
      <c r="H11" s="289">
        <f t="shared" si="12"/>
        <v>108101</v>
      </c>
      <c r="I11" s="289">
        <f t="shared" si="12"/>
        <v>43240400000</v>
      </c>
      <c r="J11" s="289">
        <f t="shared" si="12"/>
        <v>3685</v>
      </c>
      <c r="K11" s="289">
        <f t="shared" si="12"/>
        <v>1105500000</v>
      </c>
      <c r="L11" s="289">
        <f t="shared" si="12"/>
        <v>83</v>
      </c>
      <c r="M11" s="289">
        <f t="shared" si="12"/>
        <v>16600000</v>
      </c>
      <c r="N11" s="289">
        <f t="shared" si="12"/>
        <v>19638</v>
      </c>
      <c r="O11" s="289">
        <f t="shared" si="12"/>
        <v>11782800000</v>
      </c>
      <c r="P11" s="289">
        <f t="shared" si="12"/>
        <v>762</v>
      </c>
      <c r="Q11" s="289">
        <f t="shared" si="12"/>
        <v>381000000</v>
      </c>
      <c r="R11" s="289">
        <f t="shared" si="12"/>
        <v>15</v>
      </c>
      <c r="S11" s="289">
        <f t="shared" si="12"/>
        <v>4500000</v>
      </c>
      <c r="T11" s="289">
        <f t="shared" si="12"/>
        <v>167</v>
      </c>
      <c r="U11" s="289">
        <f t="shared" si="12"/>
        <v>108550000</v>
      </c>
      <c r="V11" s="289">
        <f t="shared" si="12"/>
        <v>7</v>
      </c>
      <c r="W11" s="289">
        <f t="shared" si="12"/>
        <v>3850000</v>
      </c>
      <c r="X11" s="289">
        <f t="shared" si="12"/>
        <v>63577880000</v>
      </c>
      <c r="Y11" s="290" t="e">
        <f t="shared" si="12"/>
        <v>#REF!</v>
      </c>
      <c r="Z11" s="291" t="e">
        <f t="shared" si="12"/>
        <v>#REF!</v>
      </c>
      <c r="AA11" s="291">
        <f t="shared" si="12"/>
        <v>6934680000</v>
      </c>
      <c r="AB11" s="291">
        <f t="shared" si="12"/>
        <v>56643200000</v>
      </c>
    </row>
    <row r="12" spans="1:28" s="260" customFormat="1" ht="42" customHeight="1" x14ac:dyDescent="0.3">
      <c r="A12" s="259" t="s">
        <v>597</v>
      </c>
      <c r="B12" s="293">
        <v>44521</v>
      </c>
      <c r="C12" s="253">
        <f t="shared" ref="C12:C14" si="13">B12*120000</f>
        <v>5342520000</v>
      </c>
      <c r="D12" s="293">
        <v>2021</v>
      </c>
      <c r="E12" s="253">
        <f t="shared" ref="E12:E14" si="14">D12*60000</f>
        <v>121260000</v>
      </c>
      <c r="F12" s="293">
        <v>647</v>
      </c>
      <c r="G12" s="255">
        <f t="shared" ref="G12:G14" si="15">F12*60000</f>
        <v>38820000</v>
      </c>
      <c r="H12" s="293">
        <v>39836</v>
      </c>
      <c r="I12" s="253">
        <f t="shared" ref="I12:I14" si="16">H12*400000</f>
        <v>15934400000</v>
      </c>
      <c r="J12" s="293">
        <v>3108</v>
      </c>
      <c r="K12" s="253">
        <f t="shared" ref="K12:K14" si="17">J12*300000</f>
        <v>932400000</v>
      </c>
      <c r="L12" s="293">
        <v>49</v>
      </c>
      <c r="M12" s="253">
        <f t="shared" ref="M12:M14" si="18">L12*200000</f>
        <v>9800000</v>
      </c>
      <c r="N12" s="293">
        <v>8232</v>
      </c>
      <c r="O12" s="253">
        <f t="shared" ref="O12:O14" si="19">N12*600000</f>
        <v>4939200000</v>
      </c>
      <c r="P12" s="293">
        <v>828</v>
      </c>
      <c r="Q12" s="253">
        <f>+P12*500000</f>
        <v>414000000</v>
      </c>
      <c r="R12" s="293">
        <v>0</v>
      </c>
      <c r="S12" s="253">
        <f t="shared" ref="S12:S14" si="20">+R12*300000</f>
        <v>0</v>
      </c>
      <c r="T12" s="293">
        <v>92</v>
      </c>
      <c r="U12" s="253">
        <f t="shared" ref="U12:U14" si="21">+T12*650000</f>
        <v>59800000</v>
      </c>
      <c r="V12" s="293">
        <v>10</v>
      </c>
      <c r="W12" s="253">
        <f t="shared" ref="W12:W14" si="22">V12*550000</f>
        <v>5500000</v>
      </c>
      <c r="X12" s="253">
        <f t="shared" si="10"/>
        <v>27797700000</v>
      </c>
      <c r="Y12" s="256" t="e">
        <f>+C12+E12+#REF!+G12+#REF!+#REF!+#REF!+#REF!+#REF!</f>
        <v>#REF!</v>
      </c>
      <c r="Z12" s="256" t="e">
        <f>+I12+K12+M12+O12+S12+#REF!</f>
        <v>#REF!</v>
      </c>
      <c r="AA12" s="257">
        <f>+C12+E12+G12</f>
        <v>5502600000</v>
      </c>
      <c r="AB12" s="257">
        <f t="shared" ref="AB12:AB14" si="23">+K12+I12+M12+O12+S12+U12+W12+Q12</f>
        <v>22295100000</v>
      </c>
    </row>
    <row r="13" spans="1:28" s="260" customFormat="1" ht="42" customHeight="1" x14ac:dyDescent="0.3">
      <c r="A13" s="251" t="s">
        <v>598</v>
      </c>
      <c r="B13" s="293">
        <v>72285</v>
      </c>
      <c r="C13" s="253">
        <f t="shared" si="13"/>
        <v>8674200000</v>
      </c>
      <c r="D13" s="293">
        <v>5694</v>
      </c>
      <c r="E13" s="253">
        <f t="shared" si="14"/>
        <v>341640000</v>
      </c>
      <c r="F13" s="293">
        <v>3748</v>
      </c>
      <c r="G13" s="255">
        <f t="shared" si="15"/>
        <v>224880000</v>
      </c>
      <c r="H13" s="293">
        <v>30447</v>
      </c>
      <c r="I13" s="253">
        <f t="shared" si="16"/>
        <v>12178800000</v>
      </c>
      <c r="J13" s="293">
        <v>2105</v>
      </c>
      <c r="K13" s="253">
        <f t="shared" si="17"/>
        <v>631500000</v>
      </c>
      <c r="L13" s="293">
        <v>130</v>
      </c>
      <c r="M13" s="253">
        <f t="shared" si="18"/>
        <v>26000000</v>
      </c>
      <c r="N13" s="293">
        <v>4545</v>
      </c>
      <c r="O13" s="253">
        <f t="shared" si="19"/>
        <v>2727000000</v>
      </c>
      <c r="P13" s="293">
        <v>193</v>
      </c>
      <c r="Q13" s="253">
        <f>+P13*500000</f>
        <v>96500000</v>
      </c>
      <c r="R13" s="293">
        <v>2</v>
      </c>
      <c r="S13" s="253">
        <f t="shared" si="20"/>
        <v>600000</v>
      </c>
      <c r="T13" s="293">
        <v>132</v>
      </c>
      <c r="U13" s="253">
        <f t="shared" si="21"/>
        <v>85800000</v>
      </c>
      <c r="V13" s="293">
        <v>10</v>
      </c>
      <c r="W13" s="253">
        <f t="shared" si="22"/>
        <v>5500000</v>
      </c>
      <c r="X13" s="253">
        <f t="shared" si="10"/>
        <v>24992420000</v>
      </c>
      <c r="Y13" s="256" t="e">
        <f>+C13+E13+#REF!+G13+#REF!+#REF!+#REF!+#REF!+#REF!</f>
        <v>#REF!</v>
      </c>
      <c r="Z13" s="256" t="e">
        <f>+I13+K13+M13+O13+S13+#REF!</f>
        <v>#REF!</v>
      </c>
      <c r="AA13" s="257">
        <f>+C13+E13+G13</f>
        <v>9240720000</v>
      </c>
      <c r="AB13" s="257">
        <f t="shared" si="23"/>
        <v>15751700000</v>
      </c>
    </row>
    <row r="14" spans="1:28" s="260" customFormat="1" ht="42" customHeight="1" x14ac:dyDescent="0.3">
      <c r="A14" s="251" t="s">
        <v>599</v>
      </c>
      <c r="B14" s="293">
        <v>133474</v>
      </c>
      <c r="C14" s="253">
        <f t="shared" si="13"/>
        <v>16016880000</v>
      </c>
      <c r="D14" s="293">
        <v>21469</v>
      </c>
      <c r="E14" s="253">
        <f t="shared" si="14"/>
        <v>1288140000</v>
      </c>
      <c r="F14" s="293">
        <v>4383</v>
      </c>
      <c r="G14" s="255">
        <f t="shared" si="15"/>
        <v>262980000</v>
      </c>
      <c r="H14" s="293">
        <v>25822</v>
      </c>
      <c r="I14" s="253">
        <f t="shared" si="16"/>
        <v>10328800000</v>
      </c>
      <c r="J14" s="293">
        <v>2914</v>
      </c>
      <c r="K14" s="253">
        <f t="shared" si="17"/>
        <v>874200000</v>
      </c>
      <c r="L14" s="293">
        <v>232</v>
      </c>
      <c r="M14" s="253">
        <f t="shared" si="18"/>
        <v>46400000</v>
      </c>
      <c r="N14" s="293">
        <v>3548</v>
      </c>
      <c r="O14" s="253">
        <f t="shared" si="19"/>
        <v>2128800000</v>
      </c>
      <c r="P14" s="293">
        <v>360</v>
      </c>
      <c r="Q14" s="253">
        <f>+P14*500000</f>
        <v>180000000</v>
      </c>
      <c r="R14" s="293">
        <v>2</v>
      </c>
      <c r="S14" s="253">
        <f t="shared" si="20"/>
        <v>600000</v>
      </c>
      <c r="T14" s="293">
        <v>57</v>
      </c>
      <c r="U14" s="253">
        <f t="shared" si="21"/>
        <v>37050000</v>
      </c>
      <c r="V14" s="293">
        <v>5</v>
      </c>
      <c r="W14" s="253">
        <f t="shared" si="22"/>
        <v>2750000</v>
      </c>
      <c r="X14" s="253">
        <f t="shared" si="10"/>
        <v>31166600000</v>
      </c>
      <c r="Y14" s="256" t="e">
        <f>+C14+E14+#REF!+G14+#REF!+#REF!+#REF!+#REF!+#REF!</f>
        <v>#REF!</v>
      </c>
      <c r="Z14" s="256" t="e">
        <f>+I14+K14+M14+O14+S14+#REF!</f>
        <v>#REF!</v>
      </c>
      <c r="AA14" s="257">
        <f>+C14+E14+G14</f>
        <v>17568000000</v>
      </c>
      <c r="AB14" s="257">
        <f t="shared" si="23"/>
        <v>13598600000</v>
      </c>
    </row>
    <row r="15" spans="1:28" s="292" customFormat="1" ht="42" customHeight="1" x14ac:dyDescent="0.2">
      <c r="A15" s="288" t="s">
        <v>600</v>
      </c>
      <c r="B15" s="289">
        <f>SUBTOTAL(9,B12:B14)</f>
        <v>250280</v>
      </c>
      <c r="C15" s="289">
        <f t="shared" ref="C15:AB15" si="24">SUBTOTAL(9,C12:C14)</f>
        <v>30033600000</v>
      </c>
      <c r="D15" s="289">
        <f t="shared" si="24"/>
        <v>29184</v>
      </c>
      <c r="E15" s="289">
        <f t="shared" si="24"/>
        <v>1751040000</v>
      </c>
      <c r="F15" s="289">
        <f t="shared" si="24"/>
        <v>8778</v>
      </c>
      <c r="G15" s="289">
        <f t="shared" si="24"/>
        <v>526680000</v>
      </c>
      <c r="H15" s="289">
        <f t="shared" si="24"/>
        <v>96105</v>
      </c>
      <c r="I15" s="289">
        <f t="shared" si="24"/>
        <v>38442000000</v>
      </c>
      <c r="J15" s="289">
        <f t="shared" si="24"/>
        <v>8127</v>
      </c>
      <c r="K15" s="289">
        <f t="shared" si="24"/>
        <v>2438100000</v>
      </c>
      <c r="L15" s="289">
        <f t="shared" si="24"/>
        <v>411</v>
      </c>
      <c r="M15" s="289">
        <f t="shared" si="24"/>
        <v>82200000</v>
      </c>
      <c r="N15" s="289">
        <f t="shared" si="24"/>
        <v>16325</v>
      </c>
      <c r="O15" s="289">
        <f t="shared" si="24"/>
        <v>9795000000</v>
      </c>
      <c r="P15" s="289">
        <f t="shared" si="24"/>
        <v>1381</v>
      </c>
      <c r="Q15" s="289">
        <f t="shared" si="24"/>
        <v>690500000</v>
      </c>
      <c r="R15" s="289">
        <f t="shared" si="24"/>
        <v>4</v>
      </c>
      <c r="S15" s="289">
        <f t="shared" si="24"/>
        <v>1200000</v>
      </c>
      <c r="T15" s="289">
        <f t="shared" si="24"/>
        <v>281</v>
      </c>
      <c r="U15" s="289">
        <f t="shared" si="24"/>
        <v>182650000</v>
      </c>
      <c r="V15" s="289">
        <f t="shared" si="24"/>
        <v>25</v>
      </c>
      <c r="W15" s="289">
        <f t="shared" si="24"/>
        <v>13750000</v>
      </c>
      <c r="X15" s="289">
        <f t="shared" si="24"/>
        <v>83956720000</v>
      </c>
      <c r="Y15" s="290" t="e">
        <f t="shared" si="24"/>
        <v>#REF!</v>
      </c>
      <c r="Z15" s="291" t="e">
        <f t="shared" si="24"/>
        <v>#REF!</v>
      </c>
      <c r="AA15" s="291">
        <f t="shared" si="24"/>
        <v>32311320000</v>
      </c>
      <c r="AB15" s="291">
        <f t="shared" si="24"/>
        <v>51645400000</v>
      </c>
    </row>
    <row r="16" spans="1:28" s="260" customFormat="1" ht="42" customHeight="1" x14ac:dyDescent="0.3">
      <c r="A16" s="259" t="s">
        <v>601</v>
      </c>
      <c r="B16" s="293">
        <v>122677</v>
      </c>
      <c r="C16" s="253">
        <f>B16*120000</f>
        <v>14721240000</v>
      </c>
      <c r="D16" s="252">
        <v>18558</v>
      </c>
      <c r="E16" s="253">
        <f>D16*60000</f>
        <v>1113480000</v>
      </c>
      <c r="F16" s="254">
        <v>3029</v>
      </c>
      <c r="G16" s="255">
        <f>F16*60000</f>
        <v>181740000</v>
      </c>
      <c r="H16" s="254">
        <v>28341</v>
      </c>
      <c r="I16" s="253">
        <f>H16*400000</f>
        <v>11336400000</v>
      </c>
      <c r="J16" s="254">
        <v>4068</v>
      </c>
      <c r="K16" s="253">
        <f>J16*300000</f>
        <v>1220400000</v>
      </c>
      <c r="L16" s="254">
        <v>180</v>
      </c>
      <c r="M16" s="253">
        <f>L16*200000</f>
        <v>36000000</v>
      </c>
      <c r="N16" s="254">
        <v>5012</v>
      </c>
      <c r="O16" s="253">
        <f>N16*600000</f>
        <v>3007200000</v>
      </c>
      <c r="P16" s="254">
        <v>970</v>
      </c>
      <c r="Q16" s="253">
        <f>+P16*500000</f>
        <v>485000000</v>
      </c>
      <c r="R16" s="254">
        <v>14</v>
      </c>
      <c r="S16" s="253">
        <f t="shared" ref="S16:S17" si="25">+R16*300000</f>
        <v>4200000</v>
      </c>
      <c r="T16" s="254">
        <v>96</v>
      </c>
      <c r="U16" s="253">
        <f>+T16*650000</f>
        <v>62400000</v>
      </c>
      <c r="V16" s="254">
        <v>11</v>
      </c>
      <c r="W16" s="253">
        <f>V16*550000</f>
        <v>6050000</v>
      </c>
      <c r="X16" s="253">
        <f t="shared" si="10"/>
        <v>32174110000</v>
      </c>
      <c r="Y16" s="256" t="e">
        <f>+C16+E16+#REF!+G16+#REF!+#REF!+#REF!+#REF!+#REF!</f>
        <v>#REF!</v>
      </c>
      <c r="Z16" s="256" t="e">
        <f>+I16+K16+M16+O16+S16+#REF!</f>
        <v>#REF!</v>
      </c>
      <c r="AA16" s="257">
        <f>+C16+E16+G16</f>
        <v>16016460000</v>
      </c>
      <c r="AB16" s="257">
        <f t="shared" ref="AB16:AB18" si="26">+K16+I16+M16+O16+S16+U16+W16+Q16</f>
        <v>16157650000</v>
      </c>
    </row>
    <row r="17" spans="1:28" s="260" customFormat="1" ht="42" customHeight="1" x14ac:dyDescent="0.3">
      <c r="A17" s="251" t="s">
        <v>602</v>
      </c>
      <c r="B17" s="252">
        <v>44289</v>
      </c>
      <c r="C17" s="253">
        <f>B17*120000</f>
        <v>5314680000</v>
      </c>
      <c r="D17" s="252">
        <v>6010</v>
      </c>
      <c r="E17" s="253">
        <f>D17*60000</f>
        <v>360600000</v>
      </c>
      <c r="F17" s="254">
        <v>1015</v>
      </c>
      <c r="G17" s="255">
        <f>F17*60000</f>
        <v>60900000</v>
      </c>
      <c r="H17" s="254">
        <v>28113</v>
      </c>
      <c r="I17" s="253">
        <f>H17*400000</f>
        <v>11245200000</v>
      </c>
      <c r="J17" s="254">
        <v>3111</v>
      </c>
      <c r="K17" s="253">
        <f>J17*300000</f>
        <v>933300000</v>
      </c>
      <c r="L17" s="254">
        <v>33</v>
      </c>
      <c r="M17" s="253">
        <f>L17*200000</f>
        <v>6600000</v>
      </c>
      <c r="N17" s="254">
        <v>4210</v>
      </c>
      <c r="O17" s="253">
        <f>N17*600000</f>
        <v>2526000000</v>
      </c>
      <c r="P17" s="254">
        <v>581</v>
      </c>
      <c r="Q17" s="253">
        <f>P17*500000</f>
        <v>290500000</v>
      </c>
      <c r="R17" s="254">
        <v>2</v>
      </c>
      <c r="S17" s="253">
        <f t="shared" si="25"/>
        <v>600000</v>
      </c>
      <c r="T17" s="254">
        <v>42</v>
      </c>
      <c r="U17" s="253">
        <f>+T17*650000</f>
        <v>27300000</v>
      </c>
      <c r="V17" s="254">
        <v>2</v>
      </c>
      <c r="W17" s="253">
        <f>V17*550000</f>
        <v>1100000</v>
      </c>
      <c r="X17" s="253">
        <f t="shared" si="10"/>
        <v>20766780000</v>
      </c>
      <c r="Y17" s="256" t="e">
        <f>+C17+E17+#REF!+G17+#REF!+#REF!+#REF!+#REF!+#REF!</f>
        <v>#REF!</v>
      </c>
      <c r="Z17" s="256" t="e">
        <f>+I17+K17+M17+O17+S17+#REF!</f>
        <v>#REF!</v>
      </c>
      <c r="AA17" s="257">
        <f>+C17+E17+G17</f>
        <v>5736180000</v>
      </c>
      <c r="AB17" s="257">
        <f t="shared" si="26"/>
        <v>15030600000</v>
      </c>
    </row>
    <row r="18" spans="1:28" s="260" customFormat="1" ht="42" customHeight="1" x14ac:dyDescent="0.3">
      <c r="A18" s="251" t="s">
        <v>603</v>
      </c>
      <c r="B18" s="252">
        <v>18783</v>
      </c>
      <c r="C18" s="253">
        <f>B18*120000</f>
        <v>2253960000</v>
      </c>
      <c r="D18" s="252">
        <v>1007</v>
      </c>
      <c r="E18" s="253">
        <f>D18*60000</f>
        <v>60420000</v>
      </c>
      <c r="F18" s="254">
        <v>299</v>
      </c>
      <c r="G18" s="255">
        <f>F18*60000</f>
        <v>17940000</v>
      </c>
      <c r="H18" s="254">
        <v>19620</v>
      </c>
      <c r="I18" s="253">
        <f>H18*400000</f>
        <v>7848000000</v>
      </c>
      <c r="J18" s="254">
        <v>798</v>
      </c>
      <c r="K18" s="253">
        <f>J18*300000</f>
        <v>239400000</v>
      </c>
      <c r="L18" s="254">
        <v>27</v>
      </c>
      <c r="M18" s="253">
        <f>L18*200000</f>
        <v>5400000</v>
      </c>
      <c r="N18" s="254">
        <v>3609</v>
      </c>
      <c r="O18" s="253">
        <f>N18*600000</f>
        <v>2165400000</v>
      </c>
      <c r="P18" s="254">
        <v>167</v>
      </c>
      <c r="Q18" s="253">
        <f>P18*500000</f>
        <v>83500000</v>
      </c>
      <c r="R18" s="254"/>
      <c r="S18" s="253">
        <f>+R18*300000</f>
        <v>0</v>
      </c>
      <c r="T18" s="254">
        <v>110</v>
      </c>
      <c r="U18" s="253">
        <f>+T18*650000</f>
        <v>71500000</v>
      </c>
      <c r="V18" s="254">
        <v>1</v>
      </c>
      <c r="W18" s="253">
        <f>V18*550000</f>
        <v>550000</v>
      </c>
      <c r="X18" s="253">
        <f t="shared" si="10"/>
        <v>12746070000</v>
      </c>
      <c r="Y18" s="256" t="e">
        <f>+C18+E18+#REF!+G18+#REF!+#REF!+#REF!+#REF!+#REF!</f>
        <v>#REF!</v>
      </c>
      <c r="Z18" s="256" t="e">
        <f>+I18+K18+M18+O18+S18+#REF!</f>
        <v>#REF!</v>
      </c>
      <c r="AA18" s="257">
        <f>+C18+E18+G18</f>
        <v>2332320000</v>
      </c>
      <c r="AB18" s="257">
        <f t="shared" si="26"/>
        <v>10413750000</v>
      </c>
    </row>
    <row r="19" spans="1:28" s="292" customFormat="1" ht="42" customHeight="1" x14ac:dyDescent="0.2">
      <c r="A19" s="288" t="s">
        <v>604</v>
      </c>
      <c r="B19" s="289">
        <f>SUBTOTAL(9,B16:B18)</f>
        <v>185749</v>
      </c>
      <c r="C19" s="289">
        <f t="shared" ref="C19:AB19" si="27">SUBTOTAL(9,C16:C18)</f>
        <v>22289880000</v>
      </c>
      <c r="D19" s="289">
        <f t="shared" si="27"/>
        <v>25575</v>
      </c>
      <c r="E19" s="289">
        <f t="shared" si="27"/>
        <v>1534500000</v>
      </c>
      <c r="F19" s="289">
        <f t="shared" si="27"/>
        <v>4343</v>
      </c>
      <c r="G19" s="289">
        <f t="shared" si="27"/>
        <v>260580000</v>
      </c>
      <c r="H19" s="289">
        <f t="shared" si="27"/>
        <v>76074</v>
      </c>
      <c r="I19" s="289">
        <f t="shared" si="27"/>
        <v>30429600000</v>
      </c>
      <c r="J19" s="289">
        <f t="shared" si="27"/>
        <v>7977</v>
      </c>
      <c r="K19" s="289">
        <f t="shared" si="27"/>
        <v>2393100000</v>
      </c>
      <c r="L19" s="289">
        <f t="shared" si="27"/>
        <v>240</v>
      </c>
      <c r="M19" s="289">
        <f t="shared" si="27"/>
        <v>48000000</v>
      </c>
      <c r="N19" s="289">
        <f t="shared" si="27"/>
        <v>12831</v>
      </c>
      <c r="O19" s="289">
        <f t="shared" si="27"/>
        <v>7698600000</v>
      </c>
      <c r="P19" s="289">
        <f t="shared" si="27"/>
        <v>1718</v>
      </c>
      <c r="Q19" s="289">
        <f t="shared" si="27"/>
        <v>859000000</v>
      </c>
      <c r="R19" s="289">
        <f t="shared" si="27"/>
        <v>16</v>
      </c>
      <c r="S19" s="289">
        <f t="shared" si="27"/>
        <v>4800000</v>
      </c>
      <c r="T19" s="289">
        <f t="shared" si="27"/>
        <v>248</v>
      </c>
      <c r="U19" s="289">
        <f t="shared" si="27"/>
        <v>161200000</v>
      </c>
      <c r="V19" s="289">
        <f t="shared" si="27"/>
        <v>14</v>
      </c>
      <c r="W19" s="289">
        <f t="shared" si="27"/>
        <v>7700000</v>
      </c>
      <c r="X19" s="289">
        <f t="shared" si="27"/>
        <v>65686960000</v>
      </c>
      <c r="Y19" s="290" t="e">
        <f t="shared" si="27"/>
        <v>#REF!</v>
      </c>
      <c r="Z19" s="291" t="e">
        <f t="shared" si="27"/>
        <v>#REF!</v>
      </c>
      <c r="AA19" s="291">
        <f t="shared" si="27"/>
        <v>24084960000</v>
      </c>
      <c r="AB19" s="291">
        <f t="shared" si="27"/>
        <v>41602000000</v>
      </c>
    </row>
    <row r="20" spans="1:28" s="260" customFormat="1" ht="42" customHeight="1" x14ac:dyDescent="0.3">
      <c r="A20" s="259" t="s">
        <v>605</v>
      </c>
      <c r="B20" s="252">
        <v>16000</v>
      </c>
      <c r="C20" s="253">
        <f>B20*120000</f>
        <v>1920000000</v>
      </c>
      <c r="D20" s="252">
        <v>500</v>
      </c>
      <c r="E20" s="253">
        <f>D20*60000</f>
        <v>30000000</v>
      </c>
      <c r="F20" s="254">
        <v>100</v>
      </c>
      <c r="G20" s="255">
        <f>F20*60000</f>
        <v>6000000</v>
      </c>
      <c r="H20" s="254">
        <v>25000</v>
      </c>
      <c r="I20" s="253">
        <f>H20*400000</f>
        <v>10000000000</v>
      </c>
      <c r="J20" s="254">
        <v>1500</v>
      </c>
      <c r="K20" s="253">
        <f>J20*300000</f>
        <v>450000000</v>
      </c>
      <c r="L20" s="254">
        <v>100</v>
      </c>
      <c r="M20" s="253">
        <f>L20*200000</f>
        <v>20000000</v>
      </c>
      <c r="N20" s="254">
        <v>4300</v>
      </c>
      <c r="O20" s="253">
        <f>N20*600000</f>
        <v>2580000000</v>
      </c>
      <c r="P20" s="254">
        <v>400</v>
      </c>
      <c r="Q20" s="253">
        <f>P20*500000</f>
        <v>200000000</v>
      </c>
      <c r="R20" s="254">
        <v>5</v>
      </c>
      <c r="S20" s="253">
        <f>+R20*300000</f>
        <v>1500000</v>
      </c>
      <c r="T20" s="254">
        <v>200</v>
      </c>
      <c r="U20" s="253">
        <f>+T20*650000</f>
        <v>130000000</v>
      </c>
      <c r="V20" s="254">
        <v>5</v>
      </c>
      <c r="W20" s="253">
        <f>V20*550000</f>
        <v>2750000</v>
      </c>
      <c r="X20" s="253">
        <f t="shared" si="10"/>
        <v>15340250000</v>
      </c>
      <c r="Y20" s="256" t="e">
        <f>+C20+E20+#REF!+G20+#REF!+#REF!+#REF!+#REF!+#REF!</f>
        <v>#REF!</v>
      </c>
      <c r="Z20" s="256" t="e">
        <f>+I20+K20+M20+O20+S20+#REF!</f>
        <v>#REF!</v>
      </c>
      <c r="AA20" s="257">
        <f>+C20+E20+G20</f>
        <v>1956000000</v>
      </c>
      <c r="AB20" s="257">
        <f t="shared" ref="AB20:AB22" si="28">+K20+I20+M20+O20+S20+U20+W20+Q20</f>
        <v>13384250000</v>
      </c>
    </row>
    <row r="21" spans="1:28" s="260" customFormat="1" ht="42" customHeight="1" x14ac:dyDescent="0.3">
      <c r="A21" s="251" t="s">
        <v>606</v>
      </c>
      <c r="B21" s="252">
        <v>16000</v>
      </c>
      <c r="C21" s="253">
        <f>B21*120000</f>
        <v>1920000000</v>
      </c>
      <c r="D21" s="252">
        <v>500</v>
      </c>
      <c r="E21" s="253">
        <f>D21*60000</f>
        <v>30000000</v>
      </c>
      <c r="F21" s="254">
        <v>100</v>
      </c>
      <c r="G21" s="255">
        <f>F21*60000</f>
        <v>6000000</v>
      </c>
      <c r="H21" s="254">
        <v>25325</v>
      </c>
      <c r="I21" s="253">
        <f>H21*400000</f>
        <v>10130000000</v>
      </c>
      <c r="J21" s="254">
        <v>1500</v>
      </c>
      <c r="K21" s="253">
        <f>J21*300000</f>
        <v>450000000</v>
      </c>
      <c r="L21" s="254">
        <v>99</v>
      </c>
      <c r="M21" s="253">
        <f>L21*200000</f>
        <v>19800000</v>
      </c>
      <c r="N21" s="254">
        <v>4500</v>
      </c>
      <c r="O21" s="253">
        <f>N21*600000</f>
        <v>2700000000</v>
      </c>
      <c r="P21" s="254">
        <v>400</v>
      </c>
      <c r="Q21" s="253">
        <f>P21*500000</f>
        <v>200000000</v>
      </c>
      <c r="R21" s="254">
        <v>5</v>
      </c>
      <c r="S21" s="253">
        <f>+R21*300000</f>
        <v>1500000</v>
      </c>
      <c r="T21" s="254">
        <v>200</v>
      </c>
      <c r="U21" s="253">
        <f>+T21*650000</f>
        <v>130000000</v>
      </c>
      <c r="V21" s="254">
        <v>5</v>
      </c>
      <c r="W21" s="253">
        <f>V21*550000</f>
        <v>2750000</v>
      </c>
      <c r="X21" s="253">
        <f t="shared" si="10"/>
        <v>15590050000</v>
      </c>
      <c r="Y21" s="256" t="e">
        <f>+C21+E21+#REF!+G21+#REF!+#REF!+#REF!+#REF!+#REF!</f>
        <v>#REF!</v>
      </c>
      <c r="Z21" s="256" t="e">
        <f>+I21+K21+M21+O21+S21+#REF!</f>
        <v>#REF!</v>
      </c>
      <c r="AA21" s="257">
        <f>+C21+E21+G21</f>
        <v>1956000000</v>
      </c>
      <c r="AB21" s="257">
        <f t="shared" si="28"/>
        <v>13634050000</v>
      </c>
    </row>
    <row r="22" spans="1:28" s="260" customFormat="1" ht="42" customHeight="1" x14ac:dyDescent="0.3">
      <c r="A22" s="251" t="s">
        <v>607</v>
      </c>
      <c r="B22" s="252">
        <v>16000</v>
      </c>
      <c r="C22" s="253">
        <f>B22*120000</f>
        <v>1920000000</v>
      </c>
      <c r="D22" s="252">
        <v>300</v>
      </c>
      <c r="E22" s="253">
        <f>D22*60000</f>
        <v>18000000</v>
      </c>
      <c r="F22" s="254">
        <v>100</v>
      </c>
      <c r="G22" s="255">
        <f>F22*60000</f>
        <v>6000000</v>
      </c>
      <c r="H22" s="254">
        <v>26000</v>
      </c>
      <c r="I22" s="253">
        <f>H22*400000</f>
        <v>10400000000</v>
      </c>
      <c r="J22" s="254">
        <v>1500</v>
      </c>
      <c r="K22" s="253">
        <f>J22*300000</f>
        <v>450000000</v>
      </c>
      <c r="L22" s="254">
        <v>100</v>
      </c>
      <c r="M22" s="253">
        <f>L22*200000</f>
        <v>20000000</v>
      </c>
      <c r="N22" s="254">
        <v>4500</v>
      </c>
      <c r="O22" s="253">
        <f>N22*600000</f>
        <v>2700000000</v>
      </c>
      <c r="P22" s="254">
        <v>400</v>
      </c>
      <c r="Q22" s="253">
        <f>P22*500000</f>
        <v>200000000</v>
      </c>
      <c r="R22" s="254">
        <v>5</v>
      </c>
      <c r="S22" s="253">
        <f>+R22*300000</f>
        <v>1500000</v>
      </c>
      <c r="T22" s="254">
        <v>200</v>
      </c>
      <c r="U22" s="253">
        <f>+T22*650000</f>
        <v>130000000</v>
      </c>
      <c r="V22" s="254">
        <v>5</v>
      </c>
      <c r="W22" s="253">
        <f>V22*550000</f>
        <v>2750000</v>
      </c>
      <c r="X22" s="253">
        <f t="shared" si="10"/>
        <v>15848250000</v>
      </c>
      <c r="Y22" s="256" t="e">
        <f>+C22+E22+#REF!+G22+#REF!+#REF!+#REF!+#REF!+#REF!</f>
        <v>#REF!</v>
      </c>
      <c r="Z22" s="256" t="e">
        <f>+I22+K22+M22+O22+S22+#REF!</f>
        <v>#REF!</v>
      </c>
      <c r="AA22" s="257">
        <f>+C22+E22+G22</f>
        <v>1944000000</v>
      </c>
      <c r="AB22" s="257">
        <f t="shared" si="28"/>
        <v>13904250000</v>
      </c>
    </row>
    <row r="23" spans="1:28" s="292" customFormat="1" ht="42" customHeight="1" x14ac:dyDescent="0.2">
      <c r="A23" s="288" t="s">
        <v>608</v>
      </c>
      <c r="B23" s="289">
        <f>SUBTOTAL(9,B20:B22)</f>
        <v>48000</v>
      </c>
      <c r="C23" s="289">
        <f t="shared" ref="C23:AB23" si="29">SUBTOTAL(9,C20:C22)</f>
        <v>5760000000</v>
      </c>
      <c r="D23" s="289">
        <f t="shared" si="29"/>
        <v>1300</v>
      </c>
      <c r="E23" s="289">
        <f t="shared" si="29"/>
        <v>78000000</v>
      </c>
      <c r="F23" s="289">
        <f t="shared" si="29"/>
        <v>300</v>
      </c>
      <c r="G23" s="289">
        <f t="shared" si="29"/>
        <v>18000000</v>
      </c>
      <c r="H23" s="289">
        <f t="shared" si="29"/>
        <v>76325</v>
      </c>
      <c r="I23" s="289">
        <f t="shared" si="29"/>
        <v>30530000000</v>
      </c>
      <c r="J23" s="289">
        <f t="shared" si="29"/>
        <v>4500</v>
      </c>
      <c r="K23" s="289">
        <f t="shared" si="29"/>
        <v>1350000000</v>
      </c>
      <c r="L23" s="289">
        <f t="shared" si="29"/>
        <v>299</v>
      </c>
      <c r="M23" s="289">
        <f t="shared" si="29"/>
        <v>59800000</v>
      </c>
      <c r="N23" s="289">
        <f t="shared" si="29"/>
        <v>13300</v>
      </c>
      <c r="O23" s="289">
        <f t="shared" si="29"/>
        <v>7980000000</v>
      </c>
      <c r="P23" s="289">
        <f t="shared" si="29"/>
        <v>1200</v>
      </c>
      <c r="Q23" s="289">
        <f t="shared" si="29"/>
        <v>600000000</v>
      </c>
      <c r="R23" s="289">
        <f t="shared" si="29"/>
        <v>15</v>
      </c>
      <c r="S23" s="289">
        <f t="shared" si="29"/>
        <v>4500000</v>
      </c>
      <c r="T23" s="289">
        <f t="shared" si="29"/>
        <v>600</v>
      </c>
      <c r="U23" s="289">
        <f t="shared" si="29"/>
        <v>390000000</v>
      </c>
      <c r="V23" s="289">
        <f t="shared" si="29"/>
        <v>15</v>
      </c>
      <c r="W23" s="289">
        <f t="shared" si="29"/>
        <v>8250000</v>
      </c>
      <c r="X23" s="289">
        <f t="shared" si="29"/>
        <v>46778550000</v>
      </c>
      <c r="Y23" s="290" t="e">
        <f t="shared" si="29"/>
        <v>#REF!</v>
      </c>
      <c r="Z23" s="291" t="e">
        <f t="shared" si="29"/>
        <v>#REF!</v>
      </c>
      <c r="AA23" s="291">
        <f t="shared" si="29"/>
        <v>5856000000</v>
      </c>
      <c r="AB23" s="291">
        <f t="shared" si="29"/>
        <v>40922550000</v>
      </c>
    </row>
    <row r="24" spans="1:28" s="264" customFormat="1" ht="47.25" customHeight="1" thickBot="1" x14ac:dyDescent="0.3">
      <c r="A24" s="261" t="s">
        <v>609</v>
      </c>
      <c r="B24" s="283">
        <f>SUBTOTAL(9,B8:B23)</f>
        <v>541079</v>
      </c>
      <c r="C24" s="283">
        <f t="shared" ref="C24:W24" si="30">SUBTOTAL(9,C8:C23)</f>
        <v>64929480000</v>
      </c>
      <c r="D24" s="283">
        <f t="shared" si="30"/>
        <v>57127</v>
      </c>
      <c r="E24" s="283">
        <f t="shared" si="30"/>
        <v>3427620000</v>
      </c>
      <c r="F24" s="283">
        <f t="shared" si="30"/>
        <v>13831</v>
      </c>
      <c r="G24" s="283">
        <f t="shared" si="30"/>
        <v>829860000</v>
      </c>
      <c r="H24" s="283">
        <f t="shared" si="30"/>
        <v>356605</v>
      </c>
      <c r="I24" s="283">
        <f t="shared" si="30"/>
        <v>142642000000</v>
      </c>
      <c r="J24" s="283">
        <f t="shared" si="30"/>
        <v>24289</v>
      </c>
      <c r="K24" s="283">
        <f t="shared" si="30"/>
        <v>7286700000</v>
      </c>
      <c r="L24" s="283">
        <f t="shared" si="30"/>
        <v>1033</v>
      </c>
      <c r="M24" s="283">
        <f t="shared" si="30"/>
        <v>206600000</v>
      </c>
      <c r="N24" s="283">
        <f t="shared" si="30"/>
        <v>62094</v>
      </c>
      <c r="O24" s="283">
        <f t="shared" si="30"/>
        <v>37256400000</v>
      </c>
      <c r="P24" s="283">
        <f t="shared" si="30"/>
        <v>5061</v>
      </c>
      <c r="Q24" s="283">
        <f t="shared" si="30"/>
        <v>2530500000</v>
      </c>
      <c r="R24" s="283">
        <f t="shared" si="30"/>
        <v>50</v>
      </c>
      <c r="S24" s="283">
        <f t="shared" si="30"/>
        <v>15000000</v>
      </c>
      <c r="T24" s="283">
        <f t="shared" si="30"/>
        <v>1296</v>
      </c>
      <c r="U24" s="283">
        <f>SUBTOTAL(9,U8:U23)</f>
        <v>842400000</v>
      </c>
      <c r="V24" s="283">
        <f t="shared" si="30"/>
        <v>61</v>
      </c>
      <c r="W24" s="283">
        <f t="shared" si="30"/>
        <v>33550000</v>
      </c>
      <c r="X24" s="283">
        <f>SUBTOTAL(9,X8:X23)</f>
        <v>260000110000</v>
      </c>
      <c r="Y24" s="262" t="e">
        <f>SUBTOTAL(9,Y8:Y22)</f>
        <v>#REF!</v>
      </c>
      <c r="Z24" s="263" t="e">
        <f>SUBTOTAL(9,Z8:Z22)</f>
        <v>#REF!</v>
      </c>
      <c r="AA24" s="283">
        <f t="shared" ref="AA24:AB24" si="31">SUBTOTAL(9,AA8:AA23)</f>
        <v>69186960000</v>
      </c>
      <c r="AB24" s="283">
        <f t="shared" si="31"/>
        <v>190813150000</v>
      </c>
    </row>
    <row r="25" spans="1:28" ht="7.5" customHeight="1" x14ac:dyDescent="0.25">
      <c r="A25" s="265"/>
      <c r="B25" s="266"/>
      <c r="C25" s="267"/>
      <c r="D25" s="267"/>
      <c r="E25" s="267"/>
      <c r="F25" s="266"/>
      <c r="G25" s="267"/>
      <c r="H25" s="267"/>
      <c r="I25" s="267"/>
      <c r="J25" s="267"/>
      <c r="K25" s="267"/>
      <c r="L25" s="267"/>
      <c r="M25" s="267"/>
      <c r="N25" s="267"/>
      <c r="O25" s="267"/>
      <c r="P25" s="267"/>
      <c r="Q25" s="267"/>
      <c r="R25" s="267"/>
      <c r="S25" s="267"/>
      <c r="T25" s="267"/>
      <c r="U25" s="267"/>
      <c r="V25" s="267"/>
      <c r="W25" s="267"/>
      <c r="X25" s="268"/>
      <c r="Y25" s="245"/>
    </row>
    <row r="26" spans="1:28" ht="7.5" customHeight="1" x14ac:dyDescent="0.25">
      <c r="A26" s="269"/>
      <c r="B26" s="270"/>
      <c r="C26" s="271"/>
      <c r="D26" s="271"/>
      <c r="E26" s="271"/>
      <c r="F26" s="270"/>
      <c r="G26" s="271"/>
      <c r="H26" s="271"/>
      <c r="I26" s="271"/>
      <c r="J26" s="271"/>
      <c r="K26" s="271"/>
      <c r="L26" s="271"/>
      <c r="M26" s="271"/>
      <c r="N26" s="271"/>
      <c r="O26" s="271"/>
      <c r="P26" s="271"/>
      <c r="Q26" s="271"/>
      <c r="R26" s="271"/>
      <c r="S26" s="271"/>
      <c r="T26" s="271"/>
      <c r="U26" s="271"/>
      <c r="V26" s="271"/>
      <c r="W26" s="271"/>
      <c r="X26" s="272"/>
      <c r="Y26" s="245"/>
      <c r="Z26" s="245"/>
    </row>
    <row r="27" spans="1:28" ht="27" customHeight="1" x14ac:dyDescent="0.25">
      <c r="A27" s="269"/>
      <c r="B27" s="270" t="s">
        <v>610</v>
      </c>
      <c r="C27" s="271">
        <f>+B24+D24+F24</f>
        <v>612037</v>
      </c>
      <c r="D27" s="271"/>
      <c r="E27" s="271"/>
      <c r="F27" s="270"/>
      <c r="G27" s="271"/>
      <c r="H27" s="271"/>
      <c r="I27" s="271"/>
      <c r="J27" s="271"/>
      <c r="K27" s="271"/>
      <c r="L27" s="271"/>
      <c r="M27" s="271"/>
      <c r="N27" s="271"/>
      <c r="O27" s="271"/>
      <c r="P27" s="271"/>
      <c r="Q27" s="271"/>
      <c r="R27" s="271"/>
      <c r="S27" s="271"/>
      <c r="T27" s="271"/>
      <c r="U27" s="271"/>
      <c r="V27" s="271"/>
      <c r="W27" s="271"/>
      <c r="X27" s="272"/>
      <c r="Y27" s="245"/>
      <c r="Z27" s="245"/>
    </row>
    <row r="28" spans="1:28" ht="15.75" customHeight="1" x14ac:dyDescent="0.25">
      <c r="A28" s="269"/>
      <c r="B28" s="270" t="s">
        <v>611</v>
      </c>
      <c r="C28" s="271">
        <f>+H24+J24+L24+N24+P24+R24+T24+V24</f>
        <v>450489</v>
      </c>
      <c r="D28" s="271"/>
      <c r="E28" s="271"/>
      <c r="F28" s="270"/>
      <c r="G28" s="271"/>
      <c r="H28" s="271"/>
      <c r="I28" s="271"/>
      <c r="J28" s="271"/>
      <c r="K28" s="271"/>
      <c r="L28" s="271"/>
      <c r="M28" s="271"/>
      <c r="N28" s="271"/>
      <c r="O28" s="271"/>
      <c r="P28" s="271"/>
      <c r="Q28" s="271"/>
      <c r="R28" s="271"/>
      <c r="S28" s="271"/>
      <c r="T28" s="271"/>
      <c r="U28" s="271"/>
      <c r="V28" s="271"/>
      <c r="W28" s="271"/>
      <c r="X28" s="272"/>
      <c r="Y28" s="245"/>
      <c r="Z28" s="245"/>
    </row>
    <row r="29" spans="1:28" ht="15.75" customHeight="1" x14ac:dyDescent="0.25">
      <c r="A29" s="273"/>
      <c r="B29" s="274" t="s">
        <v>520</v>
      </c>
      <c r="C29" s="275">
        <f>SUM(C27:C28)</f>
        <v>1062526</v>
      </c>
      <c r="D29" s="276"/>
      <c r="E29" s="276"/>
      <c r="F29" s="276"/>
      <c r="G29" s="276"/>
      <c r="H29" s="273"/>
      <c r="I29" s="273"/>
      <c r="J29" s="273"/>
      <c r="K29" s="273"/>
      <c r="L29" s="273"/>
      <c r="M29" s="273"/>
      <c r="N29" s="273"/>
      <c r="O29" s="273"/>
      <c r="P29" s="273"/>
      <c r="Q29" s="273"/>
      <c r="R29" s="273"/>
      <c r="S29" s="273"/>
      <c r="T29" s="271"/>
      <c r="U29" s="271"/>
      <c r="V29" s="271"/>
      <c r="W29" s="271"/>
      <c r="X29" s="272"/>
      <c r="Y29" s="245"/>
      <c r="Z29" s="245"/>
    </row>
    <row r="30" spans="1:28" s="276" customFormat="1" ht="97.5" customHeight="1" x14ac:dyDescent="0.2">
      <c r="A30" s="269"/>
      <c r="B30" s="277"/>
      <c r="C30" s="277"/>
      <c r="D30" s="277"/>
      <c r="E30" s="277"/>
      <c r="F30" s="277"/>
      <c r="G30" s="277"/>
      <c r="H30" s="271"/>
      <c r="I30" s="271"/>
      <c r="J30" s="271"/>
      <c r="K30" s="271"/>
      <c r="L30" s="271"/>
      <c r="M30" s="271"/>
      <c r="N30" s="271"/>
      <c r="O30" s="271"/>
      <c r="P30" s="271"/>
      <c r="Q30" s="271"/>
      <c r="R30" s="271"/>
      <c r="S30" s="271"/>
      <c r="T30" s="273"/>
      <c r="U30" s="273"/>
      <c r="V30" s="273"/>
      <c r="W30" s="273"/>
      <c r="X30" s="273"/>
    </row>
    <row r="31" spans="1:28" ht="15.75" customHeight="1" x14ac:dyDescent="0.25">
      <c r="A31" s="269"/>
      <c r="B31" s="270"/>
      <c r="C31" s="271"/>
      <c r="D31" s="271"/>
      <c r="E31" s="271"/>
      <c r="F31" s="270"/>
      <c r="G31" s="271"/>
      <c r="H31" s="271"/>
      <c r="I31" s="271"/>
      <c r="J31" s="271"/>
      <c r="K31" s="271"/>
      <c r="L31" s="271"/>
      <c r="M31" s="271"/>
      <c r="N31" s="271"/>
      <c r="O31" s="271"/>
      <c r="P31" s="271"/>
      <c r="Q31" s="271"/>
      <c r="R31" s="271"/>
      <c r="S31" s="271"/>
      <c r="T31" s="271"/>
      <c r="U31" s="271"/>
      <c r="V31" s="271"/>
      <c r="W31" s="271"/>
      <c r="X31" s="272"/>
      <c r="Y31" s="245"/>
      <c r="Z31" s="245"/>
    </row>
    <row r="32" spans="1:28" ht="15.75" customHeight="1" x14ac:dyDescent="0.25">
      <c r="A32" s="269"/>
      <c r="B32" s="270"/>
      <c r="C32" s="271"/>
      <c r="D32" s="271"/>
      <c r="E32" s="271"/>
      <c r="F32" s="270"/>
      <c r="G32" s="271"/>
      <c r="H32" s="271"/>
      <c r="I32" s="271"/>
      <c r="J32" s="271"/>
      <c r="K32" s="271"/>
      <c r="L32" s="271"/>
      <c r="M32" s="271"/>
      <c r="N32" s="271"/>
      <c r="O32" s="271"/>
      <c r="P32" s="271"/>
      <c r="Q32" s="271"/>
      <c r="R32" s="271"/>
      <c r="S32" s="271"/>
      <c r="T32" s="271"/>
      <c r="U32" s="271"/>
      <c r="V32" s="271"/>
      <c r="W32" s="271"/>
      <c r="X32" s="272"/>
      <c r="Y32" s="245"/>
      <c r="Z32" s="245"/>
    </row>
    <row r="33" spans="1:26" ht="15.75" x14ac:dyDescent="0.25">
      <c r="A33" s="278"/>
      <c r="B33" s="279"/>
      <c r="C33" s="280"/>
      <c r="D33" s="280"/>
      <c r="E33" s="280"/>
      <c r="F33" s="279"/>
      <c r="G33" s="280"/>
      <c r="H33" s="280"/>
      <c r="I33" s="280"/>
      <c r="J33" s="280"/>
      <c r="K33" s="280"/>
      <c r="L33" s="280"/>
      <c r="M33" s="280"/>
      <c r="N33" s="280"/>
      <c r="O33" s="280"/>
      <c r="P33" s="280"/>
      <c r="Q33" s="280"/>
      <c r="R33" s="280"/>
      <c r="S33" s="280"/>
      <c r="T33" s="271"/>
      <c r="U33" s="271"/>
      <c r="V33" s="271"/>
      <c r="W33" s="271"/>
      <c r="X33" s="272"/>
      <c r="Y33" s="245"/>
      <c r="Z33" s="245"/>
    </row>
    <row r="34" spans="1:26" ht="15.75" x14ac:dyDescent="0.25">
      <c r="A34" s="278"/>
      <c r="B34" s="279"/>
      <c r="C34" s="280"/>
      <c r="D34" s="280"/>
      <c r="E34" s="280"/>
      <c r="F34" s="279"/>
      <c r="G34" s="280"/>
      <c r="H34" s="280"/>
      <c r="I34" s="280"/>
      <c r="J34" s="280"/>
      <c r="K34" s="280"/>
      <c r="L34" s="280"/>
      <c r="M34" s="280"/>
      <c r="N34" s="280"/>
      <c r="O34" s="280"/>
      <c r="P34" s="280"/>
      <c r="Q34" s="280"/>
      <c r="R34" s="280"/>
      <c r="S34" s="280"/>
      <c r="T34" s="280"/>
      <c r="U34" s="280"/>
      <c r="V34" s="280"/>
      <c r="W34" s="280"/>
      <c r="X34" s="281"/>
      <c r="Y34" s="245"/>
      <c r="Z34" s="245"/>
    </row>
    <row r="35" spans="1:26" ht="15.75" x14ac:dyDescent="0.25">
      <c r="A35" s="278"/>
      <c r="B35" s="279"/>
      <c r="C35" s="280"/>
      <c r="D35" s="280"/>
      <c r="E35" s="280"/>
      <c r="F35" s="279"/>
      <c r="G35" s="280"/>
      <c r="H35" s="280"/>
      <c r="I35" s="280"/>
      <c r="J35" s="280"/>
      <c r="K35" s="280"/>
      <c r="L35" s="280"/>
      <c r="M35" s="280"/>
      <c r="N35" s="280"/>
      <c r="O35" s="280"/>
      <c r="P35" s="280"/>
      <c r="Q35" s="280"/>
      <c r="R35" s="280"/>
      <c r="S35" s="280"/>
      <c r="T35" s="280"/>
      <c r="U35" s="280"/>
      <c r="V35" s="280"/>
      <c r="W35" s="280"/>
      <c r="X35" s="281"/>
      <c r="Y35" s="245"/>
      <c r="Z35" s="245"/>
    </row>
    <row r="36" spans="1:26" ht="15.75" x14ac:dyDescent="0.25">
      <c r="A36" s="278"/>
      <c r="B36" s="279"/>
      <c r="C36" s="280"/>
      <c r="D36" s="280"/>
      <c r="E36" s="280"/>
      <c r="F36" s="279"/>
      <c r="G36" s="280"/>
      <c r="H36" s="280"/>
      <c r="I36" s="280"/>
      <c r="J36" s="280"/>
      <c r="K36" s="280"/>
      <c r="L36" s="280"/>
      <c r="M36" s="280"/>
      <c r="N36" s="280"/>
      <c r="O36" s="280"/>
      <c r="P36" s="280"/>
      <c r="Q36" s="280"/>
      <c r="R36" s="280"/>
      <c r="S36" s="280"/>
      <c r="T36" s="280"/>
      <c r="U36" s="280"/>
      <c r="V36" s="280"/>
      <c r="W36" s="280"/>
      <c r="X36" s="281"/>
      <c r="Y36" s="245"/>
      <c r="Z36" s="245"/>
    </row>
    <row r="37" spans="1:26" ht="15.75" x14ac:dyDescent="0.25">
      <c r="A37" s="278"/>
      <c r="B37" s="279"/>
      <c r="C37" s="280"/>
      <c r="D37" s="280"/>
      <c r="E37" s="280"/>
      <c r="F37" s="279"/>
      <c r="G37" s="280"/>
      <c r="H37" s="280"/>
      <c r="I37" s="280"/>
      <c r="J37" s="280"/>
      <c r="K37" s="280"/>
      <c r="L37" s="280"/>
      <c r="M37" s="280"/>
      <c r="N37" s="280"/>
      <c r="O37" s="280"/>
      <c r="P37" s="280"/>
      <c r="Q37" s="280"/>
      <c r="R37" s="280"/>
      <c r="S37" s="280"/>
      <c r="T37" s="280"/>
      <c r="U37" s="280"/>
      <c r="V37" s="280"/>
      <c r="W37" s="280"/>
      <c r="X37" s="281"/>
      <c r="Y37" s="245"/>
      <c r="Z37" s="245"/>
    </row>
    <row r="38" spans="1:26" ht="15.75" x14ac:dyDescent="0.25">
      <c r="A38" s="278"/>
      <c r="B38" s="279"/>
      <c r="C38" s="280"/>
      <c r="D38" s="280"/>
      <c r="E38" s="280"/>
      <c r="F38" s="279"/>
      <c r="G38" s="280"/>
      <c r="H38" s="280"/>
      <c r="I38" s="280"/>
      <c r="J38" s="280"/>
      <c r="K38" s="280"/>
      <c r="L38" s="280"/>
      <c r="M38" s="280"/>
      <c r="N38" s="280"/>
      <c r="O38" s="280"/>
      <c r="P38" s="280"/>
      <c r="Q38" s="280"/>
      <c r="R38" s="280"/>
      <c r="S38" s="280"/>
      <c r="T38" s="280"/>
      <c r="U38" s="280"/>
      <c r="V38" s="280"/>
      <c r="W38" s="280"/>
      <c r="X38" s="281"/>
      <c r="Y38" s="245"/>
      <c r="Z38" s="245"/>
    </row>
    <row r="39" spans="1:26" ht="15.75" x14ac:dyDescent="0.25">
      <c r="A39" s="278"/>
      <c r="B39" s="279"/>
      <c r="C39" s="280"/>
      <c r="D39" s="280"/>
      <c r="E39" s="280"/>
      <c r="F39" s="279"/>
      <c r="G39" s="280"/>
      <c r="H39" s="280"/>
      <c r="I39" s="280"/>
      <c r="J39" s="280"/>
      <c r="K39" s="280"/>
      <c r="L39" s="280"/>
      <c r="M39" s="280"/>
      <c r="N39" s="280"/>
      <c r="O39" s="280"/>
      <c r="P39" s="280"/>
      <c r="Q39" s="280"/>
      <c r="R39" s="280"/>
      <c r="S39" s="280"/>
      <c r="T39" s="280"/>
      <c r="U39" s="280"/>
      <c r="V39" s="280"/>
      <c r="W39" s="280"/>
      <c r="X39" s="281"/>
      <c r="Y39" s="245"/>
      <c r="Z39" s="245"/>
    </row>
    <row r="40" spans="1:26" ht="15.75" x14ac:dyDescent="0.25">
      <c r="A40" s="278"/>
      <c r="B40" s="279"/>
      <c r="C40" s="280"/>
      <c r="D40" s="280"/>
      <c r="E40" s="280"/>
      <c r="F40" s="279"/>
      <c r="G40" s="280"/>
      <c r="H40" s="280"/>
      <c r="I40" s="280"/>
      <c r="J40" s="280"/>
      <c r="K40" s="280"/>
      <c r="L40" s="280"/>
      <c r="M40" s="280"/>
      <c r="N40" s="280"/>
      <c r="O40" s="280"/>
      <c r="P40" s="280"/>
      <c r="Q40" s="280"/>
      <c r="R40" s="280"/>
      <c r="S40" s="280"/>
      <c r="T40" s="280"/>
      <c r="U40" s="280"/>
      <c r="V40" s="280"/>
      <c r="W40" s="280"/>
      <c r="X40" s="281"/>
      <c r="Y40" s="245"/>
      <c r="Z40" s="245"/>
    </row>
    <row r="41" spans="1:26" ht="15.75" x14ac:dyDescent="0.25">
      <c r="A41" s="278"/>
      <c r="B41" s="279"/>
      <c r="C41" s="280"/>
      <c r="D41" s="280"/>
      <c r="E41" s="280"/>
      <c r="F41" s="279"/>
      <c r="G41" s="280"/>
      <c r="H41" s="280"/>
      <c r="I41" s="280"/>
      <c r="J41" s="280"/>
      <c r="K41" s="280"/>
      <c r="L41" s="280"/>
      <c r="M41" s="280"/>
      <c r="N41" s="280"/>
      <c r="O41" s="280"/>
      <c r="P41" s="280"/>
      <c r="Q41" s="280"/>
      <c r="R41" s="280"/>
      <c r="S41" s="280"/>
      <c r="T41" s="280"/>
      <c r="U41" s="280"/>
      <c r="V41" s="280"/>
      <c r="W41" s="280"/>
      <c r="X41" s="281"/>
      <c r="Y41" s="245"/>
      <c r="Z41" s="245"/>
    </row>
    <row r="42" spans="1:26" ht="15.75" x14ac:dyDescent="0.25">
      <c r="A42" s="278"/>
      <c r="B42" s="279"/>
      <c r="C42" s="280"/>
      <c r="D42" s="280"/>
      <c r="E42" s="280"/>
      <c r="F42" s="279"/>
      <c r="G42" s="280"/>
      <c r="H42" s="280"/>
      <c r="I42" s="280"/>
      <c r="J42" s="280"/>
      <c r="K42" s="280"/>
      <c r="L42" s="280"/>
      <c r="M42" s="280"/>
      <c r="N42" s="280"/>
      <c r="O42" s="280"/>
      <c r="P42" s="280"/>
      <c r="Q42" s="280"/>
      <c r="R42" s="280"/>
      <c r="S42" s="280"/>
      <c r="T42" s="280"/>
      <c r="U42" s="280"/>
      <c r="V42" s="280"/>
      <c r="W42" s="280"/>
      <c r="X42" s="281"/>
      <c r="Y42" s="245"/>
      <c r="Z42" s="245"/>
    </row>
    <row r="43" spans="1:26" ht="15.75" x14ac:dyDescent="0.25">
      <c r="A43" s="278"/>
      <c r="B43" s="279"/>
      <c r="C43" s="280"/>
      <c r="D43" s="280"/>
      <c r="E43" s="280"/>
      <c r="F43" s="279"/>
      <c r="G43" s="280"/>
      <c r="H43" s="280"/>
      <c r="I43" s="280"/>
      <c r="J43" s="280"/>
      <c r="K43" s="280"/>
      <c r="L43" s="280"/>
      <c r="M43" s="280"/>
      <c r="N43" s="280"/>
      <c r="O43" s="280"/>
      <c r="P43" s="280"/>
      <c r="Q43" s="280"/>
      <c r="R43" s="280"/>
      <c r="S43" s="280"/>
      <c r="T43" s="280"/>
      <c r="U43" s="280"/>
      <c r="V43" s="280"/>
      <c r="W43" s="280"/>
      <c r="X43" s="281"/>
      <c r="Y43" s="245"/>
      <c r="Z43" s="245"/>
    </row>
    <row r="44" spans="1:26" ht="15.75" x14ac:dyDescent="0.25">
      <c r="A44" s="278"/>
      <c r="B44" s="279"/>
      <c r="C44" s="280"/>
      <c r="D44" s="280"/>
      <c r="E44" s="280"/>
      <c r="F44" s="279"/>
      <c r="G44" s="280"/>
      <c r="H44" s="280"/>
      <c r="I44" s="280"/>
      <c r="J44" s="280"/>
      <c r="K44" s="280"/>
      <c r="L44" s="280"/>
      <c r="M44" s="280"/>
      <c r="N44" s="280"/>
      <c r="O44" s="280"/>
      <c r="P44" s="280"/>
      <c r="Q44" s="280"/>
      <c r="R44" s="280"/>
      <c r="S44" s="280"/>
      <c r="T44" s="280"/>
      <c r="U44" s="280"/>
      <c r="V44" s="280"/>
      <c r="W44" s="280"/>
      <c r="X44" s="281"/>
      <c r="Y44" s="245"/>
      <c r="Z44" s="245"/>
    </row>
    <row r="45" spans="1:26" ht="15.75" x14ac:dyDescent="0.25">
      <c r="A45" s="278"/>
      <c r="B45" s="279"/>
      <c r="C45" s="280"/>
      <c r="D45" s="280"/>
      <c r="E45" s="280"/>
      <c r="F45" s="279"/>
      <c r="G45" s="280"/>
      <c r="H45" s="280"/>
      <c r="I45" s="280"/>
      <c r="J45" s="280"/>
      <c r="K45" s="280"/>
      <c r="L45" s="280"/>
      <c r="M45" s="280"/>
      <c r="N45" s="280"/>
      <c r="O45" s="280"/>
      <c r="P45" s="280"/>
      <c r="Q45" s="280"/>
      <c r="R45" s="280"/>
      <c r="S45" s="280"/>
      <c r="T45" s="280"/>
      <c r="U45" s="280"/>
      <c r="V45" s="280"/>
      <c r="W45" s="280"/>
      <c r="X45" s="281"/>
      <c r="Y45" s="245"/>
      <c r="Z45" s="245"/>
    </row>
    <row r="46" spans="1:26" ht="15.75" x14ac:dyDescent="0.25">
      <c r="A46" s="278"/>
      <c r="B46" s="279"/>
      <c r="C46" s="280"/>
      <c r="D46" s="280"/>
      <c r="E46" s="280"/>
      <c r="F46" s="279"/>
      <c r="G46" s="280"/>
      <c r="H46" s="280"/>
      <c r="I46" s="280"/>
      <c r="J46" s="280"/>
      <c r="K46" s="280"/>
      <c r="L46" s="280"/>
      <c r="M46" s="280"/>
      <c r="N46" s="280"/>
      <c r="O46" s="280"/>
      <c r="P46" s="280"/>
      <c r="Q46" s="280"/>
      <c r="R46" s="280"/>
      <c r="S46" s="280"/>
      <c r="T46" s="280"/>
      <c r="U46" s="280"/>
      <c r="V46" s="280"/>
      <c r="W46" s="280"/>
      <c r="X46" s="281"/>
      <c r="Y46" s="245"/>
      <c r="Z46" s="245"/>
    </row>
    <row r="47" spans="1:26" ht="15.75" x14ac:dyDescent="0.25">
      <c r="A47" s="278"/>
      <c r="B47" s="279"/>
      <c r="C47" s="280"/>
      <c r="D47" s="280"/>
      <c r="E47" s="280"/>
      <c r="F47" s="279"/>
      <c r="G47" s="280"/>
      <c r="H47" s="280"/>
      <c r="I47" s="280"/>
      <c r="J47" s="280"/>
      <c r="K47" s="280"/>
      <c r="L47" s="280"/>
      <c r="M47" s="280"/>
      <c r="N47" s="280"/>
      <c r="O47" s="280"/>
      <c r="P47" s="280"/>
      <c r="Q47" s="280"/>
      <c r="R47" s="280"/>
      <c r="S47" s="280"/>
      <c r="T47" s="280"/>
      <c r="U47" s="280"/>
      <c r="V47" s="280"/>
      <c r="W47" s="280"/>
      <c r="X47" s="281"/>
      <c r="Y47" s="245"/>
      <c r="Z47" s="245"/>
    </row>
    <row r="48" spans="1:26" ht="15.75" x14ac:dyDescent="0.25">
      <c r="A48" s="278"/>
      <c r="B48" s="279"/>
      <c r="C48" s="280"/>
      <c r="D48" s="280"/>
      <c r="E48" s="280"/>
      <c r="F48" s="279"/>
      <c r="G48" s="280"/>
      <c r="H48" s="280"/>
      <c r="I48" s="280"/>
      <c r="J48" s="280"/>
      <c r="K48" s="280"/>
      <c r="L48" s="280"/>
      <c r="M48" s="280"/>
      <c r="N48" s="280"/>
      <c r="O48" s="280"/>
      <c r="P48" s="280"/>
      <c r="Q48" s="280"/>
      <c r="R48" s="280"/>
      <c r="S48" s="280"/>
      <c r="T48" s="280"/>
      <c r="U48" s="280"/>
      <c r="V48" s="280"/>
      <c r="W48" s="280"/>
      <c r="X48" s="281"/>
      <c r="Y48" s="245"/>
      <c r="Z48" s="245"/>
    </row>
    <row r="49" spans="1:26" ht="15.75" x14ac:dyDescent="0.25">
      <c r="A49" s="278"/>
      <c r="B49" s="279"/>
      <c r="C49" s="280"/>
      <c r="D49" s="280"/>
      <c r="E49" s="280"/>
      <c r="F49" s="279"/>
      <c r="G49" s="280"/>
      <c r="H49" s="280"/>
      <c r="I49" s="280"/>
      <c r="J49" s="280"/>
      <c r="K49" s="280"/>
      <c r="L49" s="280"/>
      <c r="M49" s="280"/>
      <c r="N49" s="280"/>
      <c r="O49" s="280"/>
      <c r="P49" s="280"/>
      <c r="Q49" s="280"/>
      <c r="R49" s="280"/>
      <c r="S49" s="280"/>
      <c r="T49" s="280"/>
      <c r="U49" s="280"/>
      <c r="V49" s="280"/>
      <c r="W49" s="280"/>
      <c r="X49" s="281"/>
      <c r="Y49" s="245"/>
      <c r="Z49" s="245"/>
    </row>
    <row r="50" spans="1:26" ht="15.75" x14ac:dyDescent="0.25">
      <c r="A50" s="278"/>
      <c r="B50" s="279"/>
      <c r="C50" s="280"/>
      <c r="D50" s="280"/>
      <c r="E50" s="280"/>
      <c r="F50" s="279"/>
      <c r="G50" s="280"/>
      <c r="H50" s="280"/>
      <c r="I50" s="280"/>
      <c r="J50" s="280"/>
      <c r="K50" s="280"/>
      <c r="L50" s="280"/>
      <c r="M50" s="280"/>
      <c r="N50" s="280"/>
      <c r="O50" s="280"/>
      <c r="P50" s="280"/>
      <c r="Q50" s="280"/>
      <c r="R50" s="280"/>
      <c r="S50" s="280"/>
      <c r="T50" s="280"/>
      <c r="U50" s="280"/>
      <c r="V50" s="280"/>
      <c r="W50" s="280"/>
      <c r="X50" s="281"/>
      <c r="Y50" s="245"/>
      <c r="Z50" s="245"/>
    </row>
    <row r="51" spans="1:26" ht="15.75" x14ac:dyDescent="0.25">
      <c r="A51" s="278"/>
      <c r="B51" s="279"/>
      <c r="C51" s="280"/>
      <c r="D51" s="280"/>
      <c r="E51" s="280"/>
      <c r="F51" s="279"/>
      <c r="G51" s="280"/>
      <c r="H51" s="280"/>
      <c r="I51" s="280"/>
      <c r="J51" s="280"/>
      <c r="K51" s="280"/>
      <c r="L51" s="280"/>
      <c r="M51" s="280"/>
      <c r="N51" s="280"/>
      <c r="O51" s="280"/>
      <c r="P51" s="280"/>
      <c r="Q51" s="280"/>
      <c r="R51" s="280"/>
      <c r="S51" s="280"/>
      <c r="T51" s="280"/>
      <c r="U51" s="280"/>
      <c r="V51" s="280"/>
      <c r="W51" s="280"/>
      <c r="X51" s="281"/>
      <c r="Y51" s="245"/>
      <c r="Z51" s="245"/>
    </row>
    <row r="52" spans="1:26" ht="15.75" x14ac:dyDescent="0.25">
      <c r="A52" s="278"/>
      <c r="B52" s="279"/>
      <c r="C52" s="280"/>
      <c r="D52" s="280"/>
      <c r="E52" s="280"/>
      <c r="F52" s="279"/>
      <c r="G52" s="280"/>
      <c r="H52" s="280"/>
      <c r="I52" s="280"/>
      <c r="J52" s="280"/>
      <c r="K52" s="280"/>
      <c r="L52" s="280"/>
      <c r="M52" s="280"/>
      <c r="N52" s="280"/>
      <c r="O52" s="280"/>
      <c r="P52" s="280"/>
      <c r="Q52" s="280"/>
      <c r="R52" s="280"/>
      <c r="S52" s="280"/>
      <c r="T52" s="280"/>
      <c r="U52" s="280"/>
      <c r="V52" s="280"/>
      <c r="W52" s="280"/>
      <c r="X52" s="281"/>
      <c r="Y52" s="245"/>
      <c r="Z52" s="245"/>
    </row>
    <row r="53" spans="1:26" ht="15.75" x14ac:dyDescent="0.25">
      <c r="A53" s="278"/>
      <c r="B53" s="279"/>
      <c r="C53" s="280"/>
      <c r="D53" s="280"/>
      <c r="E53" s="280"/>
      <c r="F53" s="279"/>
      <c r="G53" s="280"/>
      <c r="H53" s="280"/>
      <c r="I53" s="280"/>
      <c r="J53" s="280"/>
      <c r="K53" s="280"/>
      <c r="L53" s="280"/>
      <c r="M53" s="280"/>
      <c r="N53" s="280"/>
      <c r="O53" s="280"/>
      <c r="P53" s="280"/>
      <c r="Q53" s="280"/>
      <c r="R53" s="280"/>
      <c r="S53" s="280"/>
      <c r="T53" s="280"/>
      <c r="U53" s="280"/>
      <c r="V53" s="280"/>
      <c r="W53" s="280"/>
      <c r="X53" s="281"/>
      <c r="Y53" s="245"/>
      <c r="Z53" s="245"/>
    </row>
    <row r="54" spans="1:26" ht="15.75" x14ac:dyDescent="0.25">
      <c r="A54" s="278"/>
      <c r="B54" s="279"/>
      <c r="C54" s="280"/>
      <c r="D54" s="280"/>
      <c r="E54" s="280"/>
      <c r="F54" s="279"/>
      <c r="G54" s="280"/>
      <c r="H54" s="280"/>
      <c r="I54" s="280"/>
      <c r="J54" s="280"/>
      <c r="K54" s="280"/>
      <c r="L54" s="280"/>
      <c r="M54" s="280"/>
      <c r="N54" s="280"/>
      <c r="O54" s="280"/>
      <c r="P54" s="280"/>
      <c r="Q54" s="280"/>
      <c r="R54" s="280"/>
      <c r="S54" s="280"/>
      <c r="T54" s="280"/>
      <c r="U54" s="280"/>
      <c r="V54" s="280"/>
      <c r="W54" s="280"/>
      <c r="X54" s="281"/>
      <c r="Y54" s="245"/>
      <c r="Z54" s="245"/>
    </row>
    <row r="55" spans="1:26" ht="15.75" x14ac:dyDescent="0.25">
      <c r="A55" s="278"/>
      <c r="B55" s="279"/>
      <c r="C55" s="280"/>
      <c r="D55" s="280"/>
      <c r="E55" s="280"/>
      <c r="F55" s="279"/>
      <c r="G55" s="280"/>
      <c r="H55" s="280"/>
      <c r="I55" s="280"/>
      <c r="J55" s="280"/>
      <c r="K55" s="280"/>
      <c r="L55" s="280"/>
      <c r="M55" s="280"/>
      <c r="N55" s="280"/>
      <c r="O55" s="280"/>
      <c r="P55" s="280"/>
      <c r="Q55" s="280"/>
      <c r="R55" s="280"/>
      <c r="S55" s="280"/>
      <c r="T55" s="280"/>
      <c r="U55" s="280"/>
      <c r="V55" s="280"/>
      <c r="W55" s="280"/>
      <c r="X55" s="281"/>
      <c r="Y55" s="245"/>
      <c r="Z55" s="245"/>
    </row>
    <row r="56" spans="1:26" ht="15.75" x14ac:dyDescent="0.25">
      <c r="A56" s="278"/>
      <c r="B56" s="279"/>
      <c r="C56" s="280"/>
      <c r="D56" s="280"/>
      <c r="E56" s="280"/>
      <c r="F56" s="279"/>
      <c r="G56" s="280"/>
      <c r="H56" s="280"/>
      <c r="I56" s="280"/>
      <c r="J56" s="280"/>
      <c r="K56" s="280"/>
      <c r="L56" s="280"/>
      <c r="M56" s="280"/>
      <c r="N56" s="280"/>
      <c r="O56" s="280"/>
      <c r="P56" s="280"/>
      <c r="Q56" s="280"/>
      <c r="R56" s="280"/>
      <c r="S56" s="280"/>
      <c r="T56" s="280"/>
      <c r="U56" s="280"/>
      <c r="V56" s="280"/>
      <c r="W56" s="280"/>
      <c r="X56" s="281"/>
      <c r="Y56" s="245"/>
      <c r="Z56" s="245"/>
    </row>
    <row r="57" spans="1:26" ht="15.75" x14ac:dyDescent="0.25">
      <c r="A57" s="278"/>
      <c r="B57" s="279"/>
      <c r="C57" s="280"/>
      <c r="D57" s="280"/>
      <c r="E57" s="280"/>
      <c r="F57" s="279"/>
      <c r="G57" s="280"/>
      <c r="H57" s="280"/>
      <c r="I57" s="280"/>
      <c r="J57" s="280"/>
      <c r="K57" s="280"/>
      <c r="L57" s="280"/>
      <c r="M57" s="280"/>
      <c r="N57" s="280"/>
      <c r="O57" s="280"/>
      <c r="P57" s="280"/>
      <c r="Q57" s="280"/>
      <c r="R57" s="280"/>
      <c r="S57" s="280"/>
      <c r="T57" s="280"/>
      <c r="U57" s="280"/>
      <c r="V57" s="280"/>
      <c r="W57" s="280"/>
      <c r="X57" s="281"/>
      <c r="Y57" s="245"/>
      <c r="Z57" s="245"/>
    </row>
    <row r="58" spans="1:26" ht="15.75" x14ac:dyDescent="0.25">
      <c r="A58" s="278"/>
      <c r="B58" s="279"/>
      <c r="C58" s="280"/>
      <c r="D58" s="280"/>
      <c r="E58" s="280"/>
      <c r="F58" s="279"/>
      <c r="G58" s="280"/>
      <c r="H58" s="280"/>
      <c r="I58" s="280"/>
      <c r="J58" s="280"/>
      <c r="K58" s="280"/>
      <c r="L58" s="280"/>
      <c r="M58" s="280"/>
      <c r="N58" s="280"/>
      <c r="O58" s="280"/>
      <c r="P58" s="280"/>
      <c r="Q58" s="280"/>
      <c r="R58" s="280"/>
      <c r="S58" s="280"/>
      <c r="T58" s="280"/>
      <c r="U58" s="280"/>
      <c r="V58" s="280"/>
      <c r="W58" s="280"/>
      <c r="X58" s="281"/>
      <c r="Y58" s="245"/>
      <c r="Z58" s="245"/>
    </row>
    <row r="59" spans="1:26" ht="15.75" x14ac:dyDescent="0.25">
      <c r="A59" s="278"/>
      <c r="B59" s="279"/>
      <c r="C59" s="280"/>
      <c r="D59" s="280"/>
      <c r="E59" s="280"/>
      <c r="F59" s="279"/>
      <c r="G59" s="280"/>
      <c r="H59" s="280"/>
      <c r="I59" s="280"/>
      <c r="J59" s="280"/>
      <c r="K59" s="280"/>
      <c r="L59" s="280"/>
      <c r="M59" s="280"/>
      <c r="N59" s="280"/>
      <c r="O59" s="280"/>
      <c r="P59" s="280"/>
      <c r="Q59" s="280"/>
      <c r="R59" s="280"/>
      <c r="S59" s="280"/>
      <c r="T59" s="280"/>
      <c r="U59" s="280"/>
      <c r="V59" s="280"/>
      <c r="W59" s="280"/>
      <c r="X59" s="281"/>
      <c r="Y59" s="245"/>
      <c r="Z59" s="245"/>
    </row>
    <row r="60" spans="1:26" ht="15.75" x14ac:dyDescent="0.25">
      <c r="A60" s="278"/>
      <c r="B60" s="279"/>
      <c r="C60" s="280"/>
      <c r="D60" s="280"/>
      <c r="E60" s="280"/>
      <c r="F60" s="279"/>
      <c r="G60" s="280"/>
      <c r="H60" s="280"/>
      <c r="I60" s="280"/>
      <c r="J60" s="280"/>
      <c r="K60" s="280"/>
      <c r="L60" s="280"/>
      <c r="M60" s="280"/>
      <c r="N60" s="280"/>
      <c r="O60" s="280"/>
      <c r="P60" s="280"/>
      <c r="Q60" s="280"/>
      <c r="R60" s="280"/>
      <c r="S60" s="280"/>
      <c r="T60" s="280"/>
      <c r="U60" s="280"/>
      <c r="V60" s="280"/>
      <c r="W60" s="280"/>
      <c r="X60" s="281"/>
      <c r="Y60" s="245"/>
      <c r="Z60" s="245"/>
    </row>
    <row r="61" spans="1:26" ht="15.75" x14ac:dyDescent="0.25">
      <c r="A61" s="278"/>
      <c r="B61" s="279"/>
      <c r="C61" s="280"/>
      <c r="D61" s="280"/>
      <c r="E61" s="280"/>
      <c r="F61" s="279"/>
      <c r="G61" s="280"/>
      <c r="H61" s="280"/>
      <c r="I61" s="280"/>
      <c r="J61" s="280"/>
      <c r="K61" s="280"/>
      <c r="L61" s="280"/>
      <c r="M61" s="280"/>
      <c r="N61" s="280"/>
      <c r="O61" s="280"/>
      <c r="P61" s="280"/>
      <c r="Q61" s="280"/>
      <c r="R61" s="280"/>
      <c r="S61" s="280"/>
      <c r="T61" s="280"/>
      <c r="U61" s="280"/>
      <c r="V61" s="280"/>
      <c r="W61" s="280"/>
      <c r="X61" s="281"/>
      <c r="Y61" s="245"/>
      <c r="Z61" s="245"/>
    </row>
    <row r="62" spans="1:26" ht="15.75" x14ac:dyDescent="0.25">
      <c r="A62" s="278"/>
      <c r="B62" s="279"/>
      <c r="C62" s="280"/>
      <c r="D62" s="280"/>
      <c r="E62" s="280"/>
      <c r="F62" s="279"/>
      <c r="G62" s="280"/>
      <c r="H62" s="280"/>
      <c r="I62" s="280"/>
      <c r="J62" s="280"/>
      <c r="K62" s="280"/>
      <c r="L62" s="280"/>
      <c r="M62" s="280"/>
      <c r="N62" s="280"/>
      <c r="O62" s="280"/>
      <c r="P62" s="280"/>
      <c r="Q62" s="280"/>
      <c r="R62" s="280"/>
      <c r="S62" s="280"/>
      <c r="T62" s="280"/>
      <c r="U62" s="280"/>
      <c r="V62" s="280"/>
      <c r="W62" s="280"/>
      <c r="X62" s="281"/>
      <c r="Y62" s="245"/>
      <c r="Z62" s="245"/>
    </row>
    <row r="63" spans="1:26" ht="15.75" x14ac:dyDescent="0.25">
      <c r="A63" s="278"/>
      <c r="B63" s="279"/>
      <c r="C63" s="280"/>
      <c r="D63" s="280"/>
      <c r="E63" s="280"/>
      <c r="F63" s="279"/>
      <c r="G63" s="280"/>
      <c r="H63" s="280"/>
      <c r="I63" s="280"/>
      <c r="J63" s="280"/>
      <c r="K63" s="280"/>
      <c r="L63" s="280"/>
      <c r="M63" s="280"/>
      <c r="N63" s="280"/>
      <c r="O63" s="280"/>
      <c r="P63" s="280"/>
      <c r="Q63" s="280"/>
      <c r="R63" s="280"/>
      <c r="S63" s="280"/>
      <c r="T63" s="280"/>
      <c r="U63" s="280"/>
      <c r="V63" s="280"/>
      <c r="W63" s="280"/>
      <c r="X63" s="281"/>
      <c r="Y63" s="245"/>
      <c r="Z63" s="245"/>
    </row>
    <row r="64" spans="1:26" ht="15.75" x14ac:dyDescent="0.25">
      <c r="A64" s="278"/>
      <c r="B64" s="279"/>
      <c r="C64" s="280"/>
      <c r="D64" s="280"/>
      <c r="E64" s="280"/>
      <c r="F64" s="279"/>
      <c r="G64" s="280"/>
      <c r="H64" s="280"/>
      <c r="I64" s="280"/>
      <c r="J64" s="280"/>
      <c r="K64" s="280"/>
      <c r="L64" s="280"/>
      <c r="M64" s="280"/>
      <c r="N64" s="280"/>
      <c r="O64" s="280"/>
      <c r="P64" s="280"/>
      <c r="Q64" s="280"/>
      <c r="R64" s="280"/>
      <c r="S64" s="280"/>
      <c r="T64" s="280"/>
      <c r="U64" s="280"/>
      <c r="V64" s="280"/>
      <c r="W64" s="280"/>
      <c r="X64" s="281"/>
      <c r="Y64" s="245"/>
      <c r="Z64" s="245"/>
    </row>
    <row r="65" spans="1:26" ht="15.75" x14ac:dyDescent="0.25">
      <c r="A65" s="278"/>
      <c r="B65" s="279"/>
      <c r="C65" s="280"/>
      <c r="D65" s="280"/>
      <c r="E65" s="280"/>
      <c r="F65" s="279"/>
      <c r="G65" s="280"/>
      <c r="H65" s="280"/>
      <c r="I65" s="280"/>
      <c r="J65" s="280"/>
      <c r="K65" s="280"/>
      <c r="L65" s="280"/>
      <c r="M65" s="280"/>
      <c r="N65" s="280"/>
      <c r="O65" s="280"/>
      <c r="P65" s="280"/>
      <c r="Q65" s="280"/>
      <c r="R65" s="280"/>
      <c r="S65" s="280"/>
      <c r="T65" s="280"/>
      <c r="U65" s="280"/>
      <c r="V65" s="280"/>
      <c r="W65" s="280"/>
      <c r="X65" s="281"/>
      <c r="Y65" s="245"/>
      <c r="Z65" s="245"/>
    </row>
    <row r="66" spans="1:26" ht="15.75" x14ac:dyDescent="0.25">
      <c r="A66" s="278"/>
      <c r="B66" s="279"/>
      <c r="C66" s="280"/>
      <c r="D66" s="280"/>
      <c r="E66" s="280"/>
      <c r="F66" s="279"/>
      <c r="G66" s="280"/>
      <c r="H66" s="280"/>
      <c r="I66" s="280"/>
      <c r="J66" s="280"/>
      <c r="K66" s="280"/>
      <c r="L66" s="280"/>
      <c r="M66" s="280"/>
      <c r="N66" s="280"/>
      <c r="O66" s="280"/>
      <c r="P66" s="280"/>
      <c r="Q66" s="280"/>
      <c r="R66" s="280"/>
      <c r="S66" s="280"/>
      <c r="T66" s="280"/>
      <c r="U66" s="280"/>
      <c r="V66" s="280"/>
      <c r="W66" s="280"/>
      <c r="X66" s="281"/>
      <c r="Y66" s="245"/>
      <c r="Z66" s="245"/>
    </row>
    <row r="67" spans="1:26" ht="15.75" x14ac:dyDescent="0.25">
      <c r="A67" s="278"/>
      <c r="B67" s="279"/>
      <c r="C67" s="280"/>
      <c r="D67" s="280"/>
      <c r="E67" s="280"/>
      <c r="F67" s="279"/>
      <c r="G67" s="280"/>
      <c r="H67" s="280"/>
      <c r="I67" s="280"/>
      <c r="J67" s="280"/>
      <c r="K67" s="280"/>
      <c r="L67" s="280"/>
      <c r="M67" s="280"/>
      <c r="N67" s="280"/>
      <c r="O67" s="280"/>
      <c r="P67" s="280"/>
      <c r="Q67" s="280"/>
      <c r="R67" s="280"/>
      <c r="S67" s="280"/>
      <c r="T67" s="280"/>
      <c r="U67" s="280"/>
      <c r="V67" s="280"/>
      <c r="W67" s="280"/>
      <c r="X67" s="281"/>
      <c r="Y67" s="245"/>
      <c r="Z67" s="245"/>
    </row>
    <row r="68" spans="1:26" ht="15.75" x14ac:dyDescent="0.25">
      <c r="A68" s="278"/>
      <c r="B68" s="279"/>
      <c r="C68" s="280"/>
      <c r="D68" s="280"/>
      <c r="E68" s="280"/>
      <c r="F68" s="279"/>
      <c r="G68" s="280"/>
      <c r="H68" s="280"/>
      <c r="I68" s="280"/>
      <c r="J68" s="280"/>
      <c r="K68" s="280"/>
      <c r="L68" s="280"/>
      <c r="M68" s="280"/>
      <c r="N68" s="280"/>
      <c r="O68" s="280"/>
      <c r="P68" s="280"/>
      <c r="Q68" s="280"/>
      <c r="R68" s="280"/>
      <c r="S68" s="280"/>
      <c r="T68" s="280"/>
      <c r="U68" s="280"/>
      <c r="V68" s="280"/>
      <c r="W68" s="280"/>
      <c r="X68" s="281"/>
      <c r="Y68" s="245"/>
      <c r="Z68" s="245"/>
    </row>
    <row r="69" spans="1:26" ht="15.75" x14ac:dyDescent="0.25">
      <c r="A69" s="278"/>
      <c r="B69" s="279"/>
      <c r="C69" s="280"/>
      <c r="D69" s="280"/>
      <c r="E69" s="280"/>
      <c r="F69" s="279"/>
      <c r="G69" s="280"/>
      <c r="H69" s="280"/>
      <c r="I69" s="280"/>
      <c r="J69" s="280"/>
      <c r="K69" s="280"/>
      <c r="L69" s="280"/>
      <c r="M69" s="280"/>
      <c r="N69" s="280"/>
      <c r="O69" s="280"/>
      <c r="P69" s="280"/>
      <c r="Q69" s="280"/>
      <c r="R69" s="280"/>
      <c r="S69" s="280"/>
      <c r="T69" s="280"/>
      <c r="U69" s="280"/>
      <c r="V69" s="280"/>
      <c r="W69" s="280"/>
      <c r="X69" s="281"/>
      <c r="Y69" s="245"/>
      <c r="Z69" s="245"/>
    </row>
    <row r="70" spans="1:26" ht="15.75" x14ac:dyDescent="0.25">
      <c r="A70" s="278"/>
      <c r="B70" s="279"/>
      <c r="C70" s="280"/>
      <c r="D70" s="280"/>
      <c r="E70" s="280"/>
      <c r="F70" s="279"/>
      <c r="G70" s="280"/>
      <c r="H70" s="280"/>
      <c r="I70" s="280"/>
      <c r="J70" s="280"/>
      <c r="K70" s="280"/>
      <c r="L70" s="280"/>
      <c r="M70" s="280"/>
      <c r="N70" s="280"/>
      <c r="O70" s="280"/>
      <c r="P70" s="280"/>
      <c r="Q70" s="280"/>
      <c r="R70" s="280"/>
      <c r="S70" s="280"/>
      <c r="T70" s="280"/>
      <c r="U70" s="280"/>
      <c r="V70" s="280"/>
      <c r="W70" s="280"/>
      <c r="X70" s="281"/>
      <c r="Y70" s="245"/>
      <c r="Z70" s="245"/>
    </row>
    <row r="71" spans="1:26" ht="15.75" x14ac:dyDescent="0.25">
      <c r="A71" s="278"/>
      <c r="B71" s="279"/>
      <c r="C71" s="280"/>
      <c r="D71" s="280"/>
      <c r="E71" s="280"/>
      <c r="F71" s="279"/>
      <c r="G71" s="280"/>
      <c r="H71" s="280"/>
      <c r="I71" s="280"/>
      <c r="J71" s="280"/>
      <c r="K71" s="280"/>
      <c r="L71" s="280"/>
      <c r="M71" s="280"/>
      <c r="N71" s="280"/>
      <c r="O71" s="280"/>
      <c r="P71" s="280"/>
      <c r="Q71" s="280"/>
      <c r="R71" s="280"/>
      <c r="S71" s="280"/>
      <c r="T71" s="280"/>
      <c r="U71" s="280"/>
      <c r="V71" s="280"/>
      <c r="W71" s="280"/>
      <c r="X71" s="281"/>
      <c r="Y71" s="245"/>
      <c r="Z71" s="245"/>
    </row>
    <row r="72" spans="1:26" ht="15.75" x14ac:dyDescent="0.25">
      <c r="A72" s="278"/>
      <c r="B72" s="279"/>
      <c r="C72" s="280"/>
      <c r="D72" s="280"/>
      <c r="E72" s="280"/>
      <c r="F72" s="279"/>
      <c r="G72" s="280"/>
      <c r="H72" s="280"/>
      <c r="I72" s="280"/>
      <c r="J72" s="280"/>
      <c r="K72" s="280"/>
      <c r="L72" s="280"/>
      <c r="M72" s="280"/>
      <c r="N72" s="280"/>
      <c r="O72" s="280"/>
      <c r="P72" s="280"/>
      <c r="Q72" s="280"/>
      <c r="R72" s="280"/>
      <c r="S72" s="280"/>
      <c r="T72" s="280"/>
      <c r="U72" s="280"/>
      <c r="V72" s="280"/>
      <c r="W72" s="280"/>
      <c r="X72" s="281"/>
      <c r="Y72" s="245"/>
      <c r="Z72" s="245"/>
    </row>
    <row r="73" spans="1:26" ht="15.75" x14ac:dyDescent="0.25">
      <c r="A73" s="278"/>
      <c r="B73" s="279"/>
      <c r="C73" s="280"/>
      <c r="D73" s="280"/>
      <c r="E73" s="280"/>
      <c r="F73" s="279"/>
      <c r="G73" s="280"/>
      <c r="H73" s="280"/>
      <c r="I73" s="280"/>
      <c r="J73" s="280"/>
      <c r="K73" s="280"/>
      <c r="L73" s="280"/>
      <c r="M73" s="280"/>
      <c r="N73" s="280"/>
      <c r="O73" s="280"/>
      <c r="P73" s="280"/>
      <c r="Q73" s="280"/>
      <c r="R73" s="280"/>
      <c r="S73" s="280"/>
      <c r="T73" s="280"/>
      <c r="U73" s="280"/>
      <c r="V73" s="280"/>
      <c r="W73" s="280"/>
      <c r="X73" s="281"/>
      <c r="Y73" s="245"/>
      <c r="Z73" s="245"/>
    </row>
    <row r="74" spans="1:26" ht="15.75" x14ac:dyDescent="0.25">
      <c r="A74" s="278"/>
      <c r="B74" s="279"/>
      <c r="C74" s="280"/>
      <c r="D74" s="280"/>
      <c r="E74" s="280"/>
      <c r="F74" s="279"/>
      <c r="G74" s="280"/>
      <c r="H74" s="280"/>
      <c r="I74" s="280"/>
      <c r="J74" s="280"/>
      <c r="K74" s="280"/>
      <c r="L74" s="280"/>
      <c r="M74" s="280"/>
      <c r="N74" s="280"/>
      <c r="O74" s="280"/>
      <c r="P74" s="280"/>
      <c r="Q74" s="280"/>
      <c r="R74" s="280"/>
      <c r="S74" s="280"/>
      <c r="T74" s="280"/>
      <c r="U74" s="280"/>
      <c r="V74" s="280"/>
      <c r="W74" s="280"/>
      <c r="X74" s="281"/>
      <c r="Y74" s="245"/>
      <c r="Z74" s="245"/>
    </row>
    <row r="75" spans="1:26" ht="15.75" x14ac:dyDescent="0.25">
      <c r="A75" s="278"/>
      <c r="B75" s="279"/>
      <c r="C75" s="280"/>
      <c r="D75" s="280"/>
      <c r="E75" s="280"/>
      <c r="F75" s="279"/>
      <c r="G75" s="280"/>
      <c r="H75" s="280"/>
      <c r="I75" s="280"/>
      <c r="J75" s="280"/>
      <c r="K75" s="280"/>
      <c r="L75" s="280"/>
      <c r="M75" s="280"/>
      <c r="N75" s="280"/>
      <c r="O75" s="280"/>
      <c r="P75" s="280"/>
      <c r="Q75" s="280"/>
      <c r="R75" s="280"/>
      <c r="S75" s="280"/>
      <c r="T75" s="280"/>
      <c r="U75" s="280"/>
      <c r="V75" s="280"/>
      <c r="W75" s="280"/>
      <c r="X75" s="281"/>
      <c r="Y75" s="245"/>
      <c r="Z75" s="245"/>
    </row>
    <row r="76" spans="1:26" ht="15.75" x14ac:dyDescent="0.25">
      <c r="A76" s="278"/>
      <c r="B76" s="279"/>
      <c r="C76" s="280"/>
      <c r="D76" s="280"/>
      <c r="E76" s="280"/>
      <c r="F76" s="279"/>
      <c r="G76" s="280"/>
      <c r="H76" s="280"/>
      <c r="I76" s="280"/>
      <c r="J76" s="280"/>
      <c r="K76" s="280"/>
      <c r="L76" s="280"/>
      <c r="M76" s="280"/>
      <c r="N76" s="280"/>
      <c r="O76" s="280"/>
      <c r="P76" s="280"/>
      <c r="Q76" s="280"/>
      <c r="R76" s="280"/>
      <c r="S76" s="280"/>
      <c r="T76" s="280"/>
      <c r="U76" s="280"/>
      <c r="V76" s="280"/>
      <c r="W76" s="280"/>
      <c r="X76" s="281"/>
      <c r="Y76" s="245"/>
      <c r="Z76" s="245"/>
    </row>
    <row r="77" spans="1:26" ht="15.75" x14ac:dyDescent="0.25">
      <c r="A77" s="278"/>
      <c r="B77" s="279"/>
      <c r="C77" s="280"/>
      <c r="D77" s="280"/>
      <c r="E77" s="280"/>
      <c r="F77" s="279"/>
      <c r="G77" s="280"/>
      <c r="H77" s="280"/>
      <c r="I77" s="280"/>
      <c r="J77" s="280"/>
      <c r="K77" s="280"/>
      <c r="L77" s="280"/>
      <c r="M77" s="280"/>
      <c r="N77" s="280"/>
      <c r="O77" s="280"/>
      <c r="P77" s="280"/>
      <c r="Q77" s="280"/>
      <c r="R77" s="280"/>
      <c r="S77" s="280"/>
      <c r="T77" s="280"/>
      <c r="U77" s="280"/>
      <c r="V77" s="280"/>
      <c r="W77" s="280"/>
      <c r="X77" s="281"/>
      <c r="Y77" s="245"/>
      <c r="Z77" s="245"/>
    </row>
    <row r="78" spans="1:26" ht="15.75" x14ac:dyDescent="0.25">
      <c r="A78" s="278"/>
      <c r="B78" s="279"/>
      <c r="C78" s="280"/>
      <c r="D78" s="280"/>
      <c r="E78" s="280"/>
      <c r="F78" s="279"/>
      <c r="G78" s="280"/>
      <c r="H78" s="280"/>
      <c r="I78" s="280"/>
      <c r="J78" s="280"/>
      <c r="K78" s="280"/>
      <c r="L78" s="280"/>
      <c r="M78" s="280"/>
      <c r="N78" s="280"/>
      <c r="O78" s="280"/>
      <c r="P78" s="280"/>
      <c r="Q78" s="280"/>
      <c r="R78" s="280"/>
      <c r="S78" s="280"/>
      <c r="T78" s="280"/>
      <c r="U78" s="280"/>
      <c r="V78" s="280"/>
      <c r="W78" s="280"/>
      <c r="X78" s="281"/>
      <c r="Y78" s="245"/>
      <c r="Z78" s="245"/>
    </row>
    <row r="79" spans="1:26" ht="15.75" x14ac:dyDescent="0.25">
      <c r="A79" s="278"/>
      <c r="B79" s="279"/>
      <c r="C79" s="280"/>
      <c r="D79" s="280"/>
      <c r="E79" s="280"/>
      <c r="F79" s="279"/>
      <c r="G79" s="280"/>
      <c r="H79" s="280"/>
      <c r="I79" s="280"/>
      <c r="J79" s="280"/>
      <c r="K79" s="280"/>
      <c r="L79" s="280"/>
      <c r="M79" s="280"/>
      <c r="N79" s="280"/>
      <c r="O79" s="280"/>
      <c r="P79" s="280"/>
      <c r="Q79" s="280"/>
      <c r="R79" s="280"/>
      <c r="S79" s="280"/>
      <c r="T79" s="280"/>
      <c r="U79" s="280"/>
      <c r="V79" s="280"/>
      <c r="W79" s="280"/>
      <c r="X79" s="281"/>
      <c r="Y79" s="245"/>
      <c r="Z79" s="245"/>
    </row>
    <row r="80" spans="1:26" ht="15.75" x14ac:dyDescent="0.25">
      <c r="A80" s="278"/>
      <c r="B80" s="279"/>
      <c r="C80" s="280"/>
      <c r="D80" s="280"/>
      <c r="E80" s="280"/>
      <c r="F80" s="279"/>
      <c r="G80" s="280"/>
      <c r="H80" s="280"/>
      <c r="I80" s="280"/>
      <c r="J80" s="280"/>
      <c r="K80" s="280"/>
      <c r="L80" s="280"/>
      <c r="M80" s="280"/>
      <c r="N80" s="280"/>
      <c r="O80" s="280"/>
      <c r="P80" s="280"/>
      <c r="Q80" s="280"/>
      <c r="R80" s="280"/>
      <c r="S80" s="280"/>
      <c r="T80" s="280"/>
      <c r="U80" s="280"/>
      <c r="V80" s="280"/>
      <c r="W80" s="280"/>
      <c r="X80" s="281"/>
      <c r="Y80" s="245"/>
      <c r="Z80" s="245"/>
    </row>
    <row r="81" spans="1:26" ht="15.75" x14ac:dyDescent="0.25">
      <c r="A81" s="278"/>
      <c r="B81" s="279"/>
      <c r="C81" s="280"/>
      <c r="D81" s="280"/>
      <c r="E81" s="280"/>
      <c r="F81" s="279"/>
      <c r="G81" s="280"/>
      <c r="H81" s="280"/>
      <c r="I81" s="280"/>
      <c r="J81" s="280"/>
      <c r="K81" s="280"/>
      <c r="L81" s="280"/>
      <c r="M81" s="280"/>
      <c r="N81" s="280"/>
      <c r="O81" s="280"/>
      <c r="P81" s="280"/>
      <c r="Q81" s="280"/>
      <c r="R81" s="280"/>
      <c r="S81" s="280"/>
      <c r="T81" s="280"/>
      <c r="U81" s="280"/>
      <c r="V81" s="280"/>
      <c r="W81" s="280"/>
      <c r="X81" s="281"/>
      <c r="Y81" s="245"/>
      <c r="Z81" s="245"/>
    </row>
    <row r="82" spans="1:26" ht="15.75" x14ac:dyDescent="0.25">
      <c r="A82" s="278"/>
      <c r="B82" s="279"/>
      <c r="C82" s="280"/>
      <c r="D82" s="280"/>
      <c r="E82" s="280"/>
      <c r="F82" s="279"/>
      <c r="G82" s="280"/>
      <c r="H82" s="280"/>
      <c r="I82" s="280"/>
      <c r="J82" s="280"/>
      <c r="K82" s="280"/>
      <c r="L82" s="280"/>
      <c r="M82" s="280"/>
      <c r="N82" s="280"/>
      <c r="O82" s="280"/>
      <c r="P82" s="280"/>
      <c r="Q82" s="280"/>
      <c r="R82" s="280"/>
      <c r="S82" s="280"/>
      <c r="T82" s="280"/>
      <c r="U82" s="280"/>
      <c r="V82" s="280"/>
      <c r="W82" s="280"/>
      <c r="X82" s="281"/>
      <c r="Y82" s="245"/>
      <c r="Z82" s="245"/>
    </row>
    <row r="83" spans="1:26" ht="15.75" x14ac:dyDescent="0.25">
      <c r="A83" s="278"/>
      <c r="B83" s="279"/>
      <c r="C83" s="280"/>
      <c r="D83" s="280"/>
      <c r="E83" s="280"/>
      <c r="F83" s="279"/>
      <c r="G83" s="280"/>
      <c r="H83" s="280"/>
      <c r="I83" s="280"/>
      <c r="J83" s="280"/>
      <c r="K83" s="280"/>
      <c r="L83" s="280"/>
      <c r="M83" s="280"/>
      <c r="N83" s="280"/>
      <c r="O83" s="280"/>
      <c r="P83" s="280"/>
      <c r="Q83" s="280"/>
      <c r="R83" s="280"/>
      <c r="S83" s="280"/>
      <c r="T83" s="280"/>
      <c r="U83" s="280"/>
      <c r="V83" s="280"/>
      <c r="W83" s="280"/>
      <c r="X83" s="281"/>
      <c r="Y83" s="245"/>
      <c r="Z83" s="245"/>
    </row>
    <row r="84" spans="1:26" ht="15.75" x14ac:dyDescent="0.25">
      <c r="A84" s="278"/>
      <c r="B84" s="279"/>
      <c r="C84" s="280"/>
      <c r="D84" s="280"/>
      <c r="E84" s="280"/>
      <c r="F84" s="279"/>
      <c r="G84" s="280"/>
      <c r="H84" s="280"/>
      <c r="I84" s="280"/>
      <c r="J84" s="280"/>
      <c r="K84" s="280"/>
      <c r="L84" s="280"/>
      <c r="M84" s="280"/>
      <c r="N84" s="280"/>
      <c r="O84" s="280"/>
      <c r="P84" s="280"/>
      <c r="Q84" s="280"/>
      <c r="R84" s="280"/>
      <c r="S84" s="280"/>
      <c r="T84" s="280"/>
      <c r="U84" s="280"/>
      <c r="V84" s="280"/>
      <c r="W84" s="280"/>
      <c r="X84" s="281"/>
      <c r="Y84" s="245"/>
      <c r="Z84" s="245"/>
    </row>
    <row r="85" spans="1:26" ht="15.75" x14ac:dyDescent="0.25">
      <c r="A85" s="278"/>
      <c r="B85" s="279"/>
      <c r="C85" s="280"/>
      <c r="D85" s="280"/>
      <c r="E85" s="280"/>
      <c r="F85" s="279"/>
      <c r="G85" s="280"/>
      <c r="H85" s="280"/>
      <c r="I85" s="280"/>
      <c r="J85" s="280"/>
      <c r="K85" s="280"/>
      <c r="L85" s="280"/>
      <c r="M85" s="280"/>
      <c r="N85" s="280"/>
      <c r="O85" s="280"/>
      <c r="P85" s="280"/>
      <c r="Q85" s="280"/>
      <c r="R85" s="280"/>
      <c r="S85" s="280"/>
      <c r="T85" s="280"/>
      <c r="U85" s="280"/>
      <c r="V85" s="280"/>
      <c r="W85" s="280"/>
      <c r="X85" s="281"/>
      <c r="Y85" s="245"/>
      <c r="Z85" s="245"/>
    </row>
    <row r="86" spans="1:26" ht="15.75" x14ac:dyDescent="0.25">
      <c r="A86" s="278"/>
      <c r="B86" s="279"/>
      <c r="C86" s="280"/>
      <c r="D86" s="280"/>
      <c r="E86" s="280"/>
      <c r="F86" s="279"/>
      <c r="G86" s="280"/>
      <c r="H86" s="280"/>
      <c r="I86" s="280"/>
      <c r="J86" s="280"/>
      <c r="K86" s="280"/>
      <c r="L86" s="280"/>
      <c r="M86" s="280"/>
      <c r="N86" s="280"/>
      <c r="O86" s="280"/>
      <c r="P86" s="280"/>
      <c r="Q86" s="280"/>
      <c r="R86" s="280"/>
      <c r="S86" s="280"/>
      <c r="T86" s="280"/>
      <c r="U86" s="280"/>
      <c r="V86" s="280"/>
      <c r="W86" s="280"/>
      <c r="X86" s="281"/>
      <c r="Y86" s="245"/>
      <c r="Z86" s="245"/>
    </row>
    <row r="87" spans="1:26" ht="15.75" x14ac:dyDescent="0.25">
      <c r="A87" s="278"/>
      <c r="B87" s="279"/>
      <c r="C87" s="280"/>
      <c r="D87" s="280"/>
      <c r="E87" s="280"/>
      <c r="F87" s="279"/>
      <c r="G87" s="280"/>
      <c r="H87" s="280"/>
      <c r="I87" s="280"/>
      <c r="J87" s="280"/>
      <c r="K87" s="280"/>
      <c r="L87" s="280"/>
      <c r="M87" s="280"/>
      <c r="N87" s="280"/>
      <c r="O87" s="280"/>
      <c r="P87" s="280"/>
      <c r="Q87" s="280"/>
      <c r="R87" s="280"/>
      <c r="S87" s="280"/>
      <c r="T87" s="280"/>
      <c r="U87" s="280"/>
      <c r="V87" s="280"/>
      <c r="W87" s="280"/>
      <c r="X87" s="281"/>
      <c r="Y87" s="245"/>
      <c r="Z87" s="245"/>
    </row>
    <row r="88" spans="1:26" ht="15.75" x14ac:dyDescent="0.25">
      <c r="A88" s="278"/>
      <c r="B88" s="279"/>
      <c r="C88" s="280"/>
      <c r="D88" s="280"/>
      <c r="E88" s="280"/>
      <c r="F88" s="279"/>
      <c r="G88" s="280"/>
      <c r="H88" s="280"/>
      <c r="I88" s="280"/>
      <c r="J88" s="280"/>
      <c r="K88" s="280"/>
      <c r="L88" s="280"/>
      <c r="M88" s="280"/>
      <c r="N88" s="280"/>
      <c r="O88" s="280"/>
      <c r="P88" s="280"/>
      <c r="Q88" s="280"/>
      <c r="R88" s="280"/>
      <c r="S88" s="280"/>
      <c r="T88" s="280"/>
      <c r="U88" s="280"/>
      <c r="V88" s="280"/>
      <c r="W88" s="280"/>
      <c r="X88" s="281"/>
      <c r="Y88" s="245"/>
      <c r="Z88" s="245"/>
    </row>
    <row r="89" spans="1:26" ht="15.75" x14ac:dyDescent="0.25">
      <c r="A89" s="278"/>
      <c r="B89" s="279"/>
      <c r="C89" s="280"/>
      <c r="D89" s="280"/>
      <c r="E89" s="280"/>
      <c r="F89" s="279"/>
      <c r="G89" s="280"/>
      <c r="H89" s="280"/>
      <c r="I89" s="280"/>
      <c r="J89" s="280"/>
      <c r="K89" s="280"/>
      <c r="L89" s="280"/>
      <c r="M89" s="280"/>
      <c r="N89" s="280"/>
      <c r="O89" s="280"/>
      <c r="P89" s="280"/>
      <c r="Q89" s="280"/>
      <c r="R89" s="280"/>
      <c r="S89" s="280"/>
      <c r="T89" s="280"/>
      <c r="U89" s="280"/>
      <c r="V89" s="280"/>
      <c r="W89" s="280"/>
      <c r="X89" s="281"/>
      <c r="Y89" s="245"/>
      <c r="Z89" s="245"/>
    </row>
    <row r="90" spans="1:26" ht="15.75" x14ac:dyDescent="0.25">
      <c r="A90" s="278"/>
      <c r="B90" s="279"/>
      <c r="C90" s="280"/>
      <c r="D90" s="280"/>
      <c r="E90" s="280"/>
      <c r="F90" s="279"/>
      <c r="G90" s="280"/>
      <c r="H90" s="280"/>
      <c r="I90" s="280"/>
      <c r="J90" s="280"/>
      <c r="K90" s="280"/>
      <c r="L90" s="280"/>
      <c r="M90" s="280"/>
      <c r="N90" s="280"/>
      <c r="O90" s="280"/>
      <c r="P90" s="280"/>
      <c r="Q90" s="280"/>
      <c r="R90" s="280"/>
      <c r="S90" s="280"/>
      <c r="T90" s="280"/>
      <c r="U90" s="280"/>
      <c r="V90" s="280"/>
      <c r="W90" s="280"/>
      <c r="X90" s="281"/>
      <c r="Y90" s="245"/>
      <c r="Z90" s="245"/>
    </row>
    <row r="91" spans="1:26" ht="15.75" x14ac:dyDescent="0.25">
      <c r="A91" s="278"/>
      <c r="B91" s="279"/>
      <c r="C91" s="280"/>
      <c r="D91" s="280"/>
      <c r="E91" s="280"/>
      <c r="F91" s="279"/>
      <c r="G91" s="280"/>
      <c r="H91" s="280"/>
      <c r="I91" s="280"/>
      <c r="J91" s="280"/>
      <c r="K91" s="280"/>
      <c r="L91" s="280"/>
      <c r="M91" s="280"/>
      <c r="N91" s="280"/>
      <c r="O91" s="280"/>
      <c r="P91" s="280"/>
      <c r="Q91" s="280"/>
      <c r="R91" s="280"/>
      <c r="S91" s="280"/>
      <c r="T91" s="280"/>
      <c r="U91" s="280"/>
      <c r="V91" s="280"/>
      <c r="W91" s="280"/>
      <c r="X91" s="281"/>
      <c r="Y91" s="245"/>
      <c r="Z91" s="245"/>
    </row>
    <row r="92" spans="1:26" ht="15.75" x14ac:dyDescent="0.25">
      <c r="A92" s="278"/>
      <c r="B92" s="279"/>
      <c r="C92" s="280"/>
      <c r="D92" s="280"/>
      <c r="E92" s="280"/>
      <c r="F92" s="279"/>
      <c r="G92" s="280"/>
      <c r="H92" s="280"/>
      <c r="I92" s="280"/>
      <c r="J92" s="280"/>
      <c r="K92" s="280"/>
      <c r="L92" s="280"/>
      <c r="M92" s="280"/>
      <c r="N92" s="280"/>
      <c r="O92" s="280"/>
      <c r="P92" s="280"/>
      <c r="Q92" s="280"/>
      <c r="R92" s="280"/>
      <c r="S92" s="280"/>
      <c r="T92" s="280"/>
      <c r="U92" s="280"/>
      <c r="V92" s="280"/>
      <c r="W92" s="280"/>
      <c r="X92" s="281"/>
      <c r="Y92" s="245"/>
      <c r="Z92" s="245"/>
    </row>
    <row r="93" spans="1:26" ht="15.75" x14ac:dyDescent="0.25">
      <c r="A93" s="278"/>
      <c r="B93" s="279"/>
      <c r="C93" s="280"/>
      <c r="D93" s="280"/>
      <c r="E93" s="280"/>
      <c r="F93" s="279"/>
      <c r="G93" s="280"/>
      <c r="H93" s="280"/>
      <c r="I93" s="280"/>
      <c r="J93" s="280"/>
      <c r="K93" s="280"/>
      <c r="L93" s="280"/>
      <c r="M93" s="280"/>
      <c r="N93" s="280"/>
      <c r="O93" s="280"/>
      <c r="P93" s="280"/>
      <c r="Q93" s="280"/>
      <c r="R93" s="280"/>
      <c r="S93" s="280"/>
      <c r="T93" s="280"/>
      <c r="U93" s="280"/>
      <c r="V93" s="280"/>
      <c r="W93" s="280"/>
      <c r="X93" s="281"/>
      <c r="Y93" s="245"/>
      <c r="Z93" s="245"/>
    </row>
    <row r="94" spans="1:26" ht="15.75" x14ac:dyDescent="0.25">
      <c r="A94" s="278"/>
      <c r="B94" s="279"/>
      <c r="C94" s="280"/>
      <c r="D94" s="280"/>
      <c r="E94" s="280"/>
      <c r="F94" s="279"/>
      <c r="G94" s="280"/>
      <c r="H94" s="280"/>
      <c r="I94" s="280"/>
      <c r="J94" s="280"/>
      <c r="K94" s="280"/>
      <c r="L94" s="280"/>
      <c r="M94" s="280"/>
      <c r="N94" s="280"/>
      <c r="O94" s="280"/>
      <c r="P94" s="280"/>
      <c r="Q94" s="280"/>
      <c r="R94" s="280"/>
      <c r="S94" s="280"/>
      <c r="T94" s="280"/>
      <c r="U94" s="280"/>
      <c r="V94" s="280"/>
      <c r="W94" s="280"/>
      <c r="X94" s="281"/>
      <c r="Y94" s="245"/>
      <c r="Z94" s="245"/>
    </row>
    <row r="95" spans="1:26" ht="15.75" x14ac:dyDescent="0.25">
      <c r="A95" s="278"/>
      <c r="B95" s="279"/>
      <c r="C95" s="280"/>
      <c r="D95" s="280"/>
      <c r="E95" s="280"/>
      <c r="F95" s="279"/>
      <c r="G95" s="280"/>
      <c r="H95" s="280"/>
      <c r="I95" s="280"/>
      <c r="J95" s="280"/>
      <c r="K95" s="280"/>
      <c r="L95" s="280"/>
      <c r="M95" s="280"/>
      <c r="N95" s="280"/>
      <c r="O95" s="280"/>
      <c r="P95" s="280"/>
      <c r="Q95" s="280"/>
      <c r="R95" s="280"/>
      <c r="S95" s="280"/>
      <c r="T95" s="280"/>
      <c r="U95" s="280"/>
      <c r="V95" s="280"/>
      <c r="W95" s="280"/>
      <c r="X95" s="281"/>
      <c r="Y95" s="245"/>
      <c r="Z95" s="245"/>
    </row>
    <row r="96" spans="1:26" ht="15.75" x14ac:dyDescent="0.25">
      <c r="T96" s="280"/>
      <c r="U96" s="280"/>
      <c r="V96" s="280"/>
      <c r="W96" s="280"/>
      <c r="X96" s="281"/>
      <c r="Y96" s="245"/>
      <c r="Z96" s="245"/>
    </row>
  </sheetData>
  <mergeCells count="12">
    <mergeCell ref="T6:W6"/>
    <mergeCell ref="X6:X7"/>
    <mergeCell ref="W1:X1"/>
    <mergeCell ref="A2:X3"/>
    <mergeCell ref="A4:X4"/>
    <mergeCell ref="D5:S5"/>
    <mergeCell ref="W5:X5"/>
    <mergeCell ref="A6:A7"/>
    <mergeCell ref="B6:E6"/>
    <mergeCell ref="F6:G6"/>
    <mergeCell ref="H6:M6"/>
    <mergeCell ref="N6:S6"/>
  </mergeCells>
  <pageMargins left="0.2" right="0.2" top="0.75" bottom="0.75" header="0.3" footer="0.3"/>
  <pageSetup paperSize="9" scale="53" fitToWidth="0" fitToHeight="0"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zoomScale="60" zoomScaleNormal="60" workbookViewId="0">
      <selection activeCell="A23" sqref="A23"/>
    </sheetView>
  </sheetViews>
  <sheetFormatPr defaultColWidth="10.5" defaultRowHeight="15" customHeight="1" x14ac:dyDescent="0.25"/>
  <cols>
    <col min="1" max="1" width="7.5" style="241" bestFit="1" customWidth="1"/>
    <col min="2" max="2" width="7.69921875" style="282" bestFit="1" customWidth="1"/>
    <col min="3" max="3" width="12.296875" style="241" bestFit="1" customWidth="1"/>
    <col min="4" max="4" width="7" style="241" customWidth="1"/>
    <col min="5" max="5" width="11.5" style="241" bestFit="1" customWidth="1"/>
    <col min="6" max="6" width="7.19921875" style="282" customWidth="1"/>
    <col min="7" max="7" width="10.19921875" style="241" customWidth="1"/>
    <col min="8" max="8" width="7.69921875" style="282" bestFit="1" customWidth="1"/>
    <col min="9" max="9" width="12.296875" style="241" bestFit="1" customWidth="1"/>
    <col min="10" max="10" width="7" style="241" customWidth="1"/>
    <col min="11" max="11" width="11.5" style="241" bestFit="1" customWidth="1"/>
    <col min="12" max="12" width="6.5" style="241" customWidth="1"/>
    <col min="13" max="13" width="12.19921875" style="241" customWidth="1"/>
    <col min="14" max="14" width="6.69921875" style="241" customWidth="1"/>
    <col min="15" max="15" width="11.3984375" style="241" customWidth="1"/>
    <col min="16" max="16" width="7" style="241" customWidth="1"/>
    <col min="17" max="17" width="11.69921875" style="241" customWidth="1"/>
    <col min="18" max="18" width="7" style="241" customWidth="1"/>
    <col min="19" max="19" width="12.296875" style="241" bestFit="1" customWidth="1"/>
    <col min="20" max="20" width="6.09765625" style="241" customWidth="1"/>
    <col min="21" max="21" width="10.3984375" style="241" customWidth="1"/>
    <col min="22" max="22" width="5.5" style="241" customWidth="1"/>
    <col min="23" max="23" width="10.3984375" style="241" customWidth="1"/>
    <col min="24" max="24" width="5.59765625" style="241" bestFit="1" customWidth="1"/>
    <col min="25" max="25" width="11.5" style="241" customWidth="1"/>
    <col min="26" max="26" width="5.69921875" style="241" customWidth="1"/>
    <col min="27" max="27" width="10.3984375" style="241" customWidth="1"/>
    <col min="28" max="28" width="12.5" style="241" customWidth="1"/>
    <col min="29" max="29" width="11.69921875" style="241" hidden="1" customWidth="1"/>
    <col min="30" max="30" width="13.296875" style="241" hidden="1" customWidth="1"/>
    <col min="31" max="31" width="13" style="241" hidden="1" customWidth="1"/>
    <col min="32" max="32" width="12.8984375" style="241" hidden="1" customWidth="1"/>
    <col min="33" max="16384" width="10.5" style="241"/>
  </cols>
  <sheetData>
    <row r="1" spans="1:32" ht="36.6" customHeight="1" x14ac:dyDescent="0.25">
      <c r="A1" s="238"/>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749" t="s">
        <v>617</v>
      </c>
      <c r="AB1" s="749"/>
      <c r="AC1" s="240"/>
      <c r="AD1" s="240"/>
    </row>
    <row r="2" spans="1:32" ht="16.899999999999999" customHeight="1" x14ac:dyDescent="0.25">
      <c r="A2" s="750" t="s">
        <v>985</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240"/>
      <c r="AD2" s="240"/>
    </row>
    <row r="3" spans="1:32" ht="16.899999999999999" customHeight="1" x14ac:dyDescent="0.25">
      <c r="A3" s="750"/>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240"/>
      <c r="AD3" s="240"/>
    </row>
    <row r="4" spans="1:32" ht="20.45" customHeight="1" x14ac:dyDescent="0.25">
      <c r="A4" s="242"/>
      <c r="B4" s="243"/>
      <c r="C4" s="244"/>
      <c r="D4" s="754"/>
      <c r="E4" s="755"/>
      <c r="F4" s="755"/>
      <c r="G4" s="755"/>
      <c r="H4" s="755"/>
      <c r="I4" s="755"/>
      <c r="J4" s="755"/>
      <c r="K4" s="755"/>
      <c r="L4" s="755"/>
      <c r="M4" s="755"/>
      <c r="N4" s="755"/>
      <c r="O4" s="755"/>
      <c r="P4" s="755"/>
      <c r="Q4" s="755"/>
      <c r="R4" s="755"/>
      <c r="S4" s="755"/>
      <c r="T4" s="755"/>
      <c r="U4" s="755"/>
      <c r="V4" s="755"/>
      <c r="W4" s="755"/>
      <c r="X4" s="284"/>
      <c r="Y4" s="284"/>
      <c r="Z4" s="284"/>
      <c r="AA4" s="756" t="s">
        <v>351</v>
      </c>
      <c r="AB4" s="756"/>
      <c r="AC4" s="245"/>
      <c r="AD4" s="245"/>
    </row>
    <row r="5" spans="1:32" ht="36" customHeight="1" x14ac:dyDescent="0.25">
      <c r="A5" s="757" t="s">
        <v>573</v>
      </c>
      <c r="B5" s="758" t="s">
        <v>574</v>
      </c>
      <c r="C5" s="759"/>
      <c r="D5" s="759"/>
      <c r="E5" s="759"/>
      <c r="F5" s="758" t="s">
        <v>575</v>
      </c>
      <c r="G5" s="759"/>
      <c r="H5" s="758" t="s">
        <v>561</v>
      </c>
      <c r="I5" s="759"/>
      <c r="J5" s="759"/>
      <c r="K5" s="759"/>
      <c r="L5" s="758" t="s">
        <v>576</v>
      </c>
      <c r="M5" s="759"/>
      <c r="N5" s="759"/>
      <c r="O5" s="759"/>
      <c r="P5" s="759"/>
      <c r="Q5" s="759"/>
      <c r="R5" s="758" t="s">
        <v>577</v>
      </c>
      <c r="S5" s="758"/>
      <c r="T5" s="758"/>
      <c r="U5" s="758"/>
      <c r="V5" s="758"/>
      <c r="W5" s="758"/>
      <c r="X5" s="747" t="s">
        <v>578</v>
      </c>
      <c r="Y5" s="747"/>
      <c r="Z5" s="747"/>
      <c r="AA5" s="747"/>
      <c r="AB5" s="747" t="s">
        <v>347</v>
      </c>
      <c r="AC5" s="240"/>
      <c r="AD5" s="240"/>
    </row>
    <row r="6" spans="1:32" s="250" customFormat="1" ht="42" customHeight="1" x14ac:dyDescent="0.2">
      <c r="A6" s="748"/>
      <c r="B6" s="294" t="s">
        <v>579</v>
      </c>
      <c r="C6" s="294" t="s">
        <v>580</v>
      </c>
      <c r="D6" s="294" t="s">
        <v>581</v>
      </c>
      <c r="E6" s="294" t="s">
        <v>582</v>
      </c>
      <c r="F6" s="294" t="s">
        <v>579</v>
      </c>
      <c r="G6" s="294" t="s">
        <v>582</v>
      </c>
      <c r="H6" s="294" t="s">
        <v>579</v>
      </c>
      <c r="I6" s="294" t="s">
        <v>614</v>
      </c>
      <c r="J6" s="294" t="s">
        <v>581</v>
      </c>
      <c r="K6" s="294" t="s">
        <v>615</v>
      </c>
      <c r="L6" s="294" t="s">
        <v>579</v>
      </c>
      <c r="M6" s="294" t="s">
        <v>583</v>
      </c>
      <c r="N6" s="294" t="s">
        <v>581</v>
      </c>
      <c r="O6" s="294" t="s">
        <v>584</v>
      </c>
      <c r="P6" s="295" t="s">
        <v>585</v>
      </c>
      <c r="Q6" s="294" t="s">
        <v>586</v>
      </c>
      <c r="R6" s="294" t="s">
        <v>579</v>
      </c>
      <c r="S6" s="294" t="s">
        <v>587</v>
      </c>
      <c r="T6" s="294" t="s">
        <v>581</v>
      </c>
      <c r="U6" s="294" t="s">
        <v>588</v>
      </c>
      <c r="V6" s="295" t="s">
        <v>585</v>
      </c>
      <c r="W6" s="294" t="s">
        <v>584</v>
      </c>
      <c r="X6" s="294" t="s">
        <v>579</v>
      </c>
      <c r="Y6" s="294" t="s">
        <v>589</v>
      </c>
      <c r="Z6" s="294" t="s">
        <v>581</v>
      </c>
      <c r="AA6" s="246" t="s">
        <v>590</v>
      </c>
      <c r="AB6" s="748"/>
      <c r="AC6" s="248"/>
      <c r="AD6" s="248"/>
      <c r="AE6" s="249" t="s">
        <v>591</v>
      </c>
      <c r="AF6" s="249" t="s">
        <v>592</v>
      </c>
    </row>
    <row r="7" spans="1:32" s="258" customFormat="1" ht="39.75" customHeight="1" x14ac:dyDescent="0.3">
      <c r="A7" s="251" t="s">
        <v>593</v>
      </c>
      <c r="B7" s="296">
        <v>20000</v>
      </c>
      <c r="C7" s="297">
        <f t="shared" ref="C7:C9" si="0">B7*120000</f>
        <v>2400000000</v>
      </c>
      <c r="D7" s="296">
        <v>2000</v>
      </c>
      <c r="E7" s="297">
        <f t="shared" ref="E7:E9" si="1">D7*60000</f>
        <v>120000000</v>
      </c>
      <c r="F7" s="296">
        <v>1000</v>
      </c>
      <c r="G7" s="298">
        <f t="shared" ref="G7:G9" si="2">F7*60000</f>
        <v>60000000</v>
      </c>
      <c r="H7" s="296">
        <v>100</v>
      </c>
      <c r="I7" s="297">
        <f>H7*30000</f>
        <v>3000000</v>
      </c>
      <c r="J7" s="296">
        <v>20</v>
      </c>
      <c r="K7" s="297">
        <f>J7*15000</f>
        <v>300000</v>
      </c>
      <c r="L7" s="296">
        <v>33500</v>
      </c>
      <c r="M7" s="297">
        <f t="shared" ref="M7:M9" si="3">L7*400000</f>
        <v>13400000000</v>
      </c>
      <c r="N7" s="296">
        <v>1500</v>
      </c>
      <c r="O7" s="297">
        <f t="shared" ref="O7:O9" si="4">N7*300000</f>
        <v>450000000</v>
      </c>
      <c r="P7" s="296">
        <v>100</v>
      </c>
      <c r="Q7" s="297">
        <f t="shared" ref="Q7:Q9" si="5">P7*200000</f>
        <v>20000000</v>
      </c>
      <c r="R7" s="296">
        <v>6700</v>
      </c>
      <c r="S7" s="297">
        <f t="shared" ref="S7:S9" si="6">R7*600000</f>
        <v>4020000000</v>
      </c>
      <c r="T7" s="296">
        <v>500</v>
      </c>
      <c r="U7" s="297">
        <f>+T7*500000</f>
        <v>250000000</v>
      </c>
      <c r="V7" s="296">
        <v>9.9</v>
      </c>
      <c r="W7" s="297">
        <f t="shared" ref="W7:W9" si="7">+V7*300000</f>
        <v>2970000</v>
      </c>
      <c r="X7" s="296">
        <v>50</v>
      </c>
      <c r="Y7" s="297">
        <f t="shared" ref="Y7:Y9" si="8">+X7*650000</f>
        <v>32500000</v>
      </c>
      <c r="Z7" s="299">
        <v>5</v>
      </c>
      <c r="AA7" s="253">
        <f t="shared" ref="AA7:AA9" si="9">Z7*550000</f>
        <v>2750000</v>
      </c>
      <c r="AB7" s="253">
        <f>+C7+E7+G7+M7+O7+Q7+S7+W7+Y7+AA7+U7+I7+K7</f>
        <v>20761520000</v>
      </c>
      <c r="AC7" s="256" t="e">
        <f>+C7+E7+#REF!+G7+#REF!+#REF!+#REF!+#REF!+#REF!</f>
        <v>#REF!</v>
      </c>
      <c r="AD7" s="256" t="e">
        <f>+M7+O7+Q7+S7+W7+#REF!</f>
        <v>#REF!</v>
      </c>
      <c r="AE7" s="257">
        <f>+C7+E7+G7</f>
        <v>2580000000</v>
      </c>
      <c r="AF7" s="257">
        <f>+O7+M7+Q7+S7+W7+Y7+AA7+U7</f>
        <v>18178220000</v>
      </c>
    </row>
    <row r="8" spans="1:32" s="260" customFormat="1" ht="39.75" customHeight="1" x14ac:dyDescent="0.3">
      <c r="A8" s="259" t="s">
        <v>594</v>
      </c>
      <c r="B8" s="296">
        <v>18000</v>
      </c>
      <c r="C8" s="297">
        <f t="shared" si="0"/>
        <v>2160000000</v>
      </c>
      <c r="D8" s="296">
        <v>2000</v>
      </c>
      <c r="E8" s="297">
        <f t="shared" si="1"/>
        <v>120000000</v>
      </c>
      <c r="F8" s="296">
        <v>1000</v>
      </c>
      <c r="G8" s="298">
        <f t="shared" si="2"/>
        <v>60000000</v>
      </c>
      <c r="H8" s="296">
        <v>100</v>
      </c>
      <c r="I8" s="297">
        <f>H8*30000</f>
        <v>3000000</v>
      </c>
      <c r="J8" s="296">
        <v>20</v>
      </c>
      <c r="K8" s="297">
        <f>J8*15000</f>
        <v>300000</v>
      </c>
      <c r="L8" s="296">
        <v>37500</v>
      </c>
      <c r="M8" s="297">
        <f t="shared" si="3"/>
        <v>15000000000</v>
      </c>
      <c r="N8" s="296">
        <v>1000</v>
      </c>
      <c r="O8" s="297">
        <f t="shared" si="4"/>
        <v>300000000</v>
      </c>
      <c r="P8" s="296">
        <v>100</v>
      </c>
      <c r="Q8" s="297">
        <f t="shared" si="5"/>
        <v>20000000</v>
      </c>
      <c r="R8" s="296">
        <v>6000</v>
      </c>
      <c r="S8" s="297">
        <f t="shared" si="6"/>
        <v>3600000000</v>
      </c>
      <c r="T8" s="296">
        <v>100</v>
      </c>
      <c r="U8" s="297">
        <f>+T8*500000</f>
        <v>50000000</v>
      </c>
      <c r="V8" s="296">
        <v>10</v>
      </c>
      <c r="W8" s="297">
        <f t="shared" si="7"/>
        <v>3000000</v>
      </c>
      <c r="X8" s="296">
        <v>50</v>
      </c>
      <c r="Y8" s="297">
        <f t="shared" si="8"/>
        <v>32500000</v>
      </c>
      <c r="Z8" s="299">
        <v>5</v>
      </c>
      <c r="AA8" s="253">
        <f t="shared" si="9"/>
        <v>2750000</v>
      </c>
      <c r="AB8" s="253">
        <f t="shared" ref="AB8:AB9" si="10">+C8+E8+G8+M8+O8+Q8+S8+W8+Y8+AA8+U8+I8+K8</f>
        <v>21351550000</v>
      </c>
      <c r="AC8" s="256" t="e">
        <f>+C8+E8+#REF!+G8+#REF!+#REF!+#REF!+#REF!+#REF!</f>
        <v>#REF!</v>
      </c>
      <c r="AD8" s="256" t="e">
        <f>+M8+O8+Q8+S8+W8+#REF!</f>
        <v>#REF!</v>
      </c>
      <c r="AE8" s="257">
        <f>+C8+E8+G8</f>
        <v>2340000000</v>
      </c>
      <c r="AF8" s="257">
        <f t="shared" ref="AF8:AF9" si="11">+O8+M8+Q8+S8+W8+Y8+AA8+U8</f>
        <v>19008250000</v>
      </c>
    </row>
    <row r="9" spans="1:32" s="260" customFormat="1" ht="39.75" customHeight="1" x14ac:dyDescent="0.3">
      <c r="A9" s="251" t="s">
        <v>595</v>
      </c>
      <c r="B9" s="296">
        <v>30000</v>
      </c>
      <c r="C9" s="297">
        <f t="shared" si="0"/>
        <v>3600000000</v>
      </c>
      <c r="D9" s="296">
        <v>2000</v>
      </c>
      <c r="E9" s="297">
        <f t="shared" si="1"/>
        <v>120000000</v>
      </c>
      <c r="F9" s="296">
        <v>1000</v>
      </c>
      <c r="G9" s="298">
        <f t="shared" si="2"/>
        <v>60000000</v>
      </c>
      <c r="H9" s="296">
        <v>200</v>
      </c>
      <c r="I9" s="297">
        <f>H9*30000</f>
        <v>6000000</v>
      </c>
      <c r="J9" s="296">
        <v>20</v>
      </c>
      <c r="K9" s="297">
        <f>J9*15000</f>
        <v>300000</v>
      </c>
      <c r="L9" s="296">
        <v>47000</v>
      </c>
      <c r="M9" s="297">
        <f t="shared" si="3"/>
        <v>18800000000</v>
      </c>
      <c r="N9" s="296">
        <v>1500</v>
      </c>
      <c r="O9" s="297">
        <f t="shared" si="4"/>
        <v>450000000</v>
      </c>
      <c r="P9" s="296">
        <v>100</v>
      </c>
      <c r="Q9" s="297">
        <f t="shared" si="5"/>
        <v>20000000</v>
      </c>
      <c r="R9" s="296">
        <v>8700</v>
      </c>
      <c r="S9" s="297">
        <f t="shared" si="6"/>
        <v>5220000000</v>
      </c>
      <c r="T9" s="296">
        <v>300</v>
      </c>
      <c r="U9" s="297">
        <f>+T9*500000</f>
        <v>150000000</v>
      </c>
      <c r="V9" s="296">
        <v>10</v>
      </c>
      <c r="W9" s="297">
        <f t="shared" si="7"/>
        <v>3000000</v>
      </c>
      <c r="X9" s="296">
        <v>100</v>
      </c>
      <c r="Y9" s="297">
        <f t="shared" si="8"/>
        <v>65000000</v>
      </c>
      <c r="Z9" s="299">
        <v>5</v>
      </c>
      <c r="AA9" s="253">
        <f t="shared" si="9"/>
        <v>2750000</v>
      </c>
      <c r="AB9" s="253">
        <f t="shared" si="10"/>
        <v>28497050000</v>
      </c>
      <c r="AC9" s="256" t="e">
        <f>+C9+E9+#REF!+G9+#REF!+#REF!+#REF!+#REF!+#REF!</f>
        <v>#REF!</v>
      </c>
      <c r="AD9" s="256" t="e">
        <f>+M9+O9+Q9+S9+W9+#REF!</f>
        <v>#REF!</v>
      </c>
      <c r="AE9" s="257">
        <f>+C9+E9+G9</f>
        <v>3780000000</v>
      </c>
      <c r="AF9" s="257">
        <f t="shared" si="11"/>
        <v>24710750000</v>
      </c>
    </row>
    <row r="10" spans="1:32" s="292" customFormat="1" ht="42" customHeight="1" x14ac:dyDescent="0.2">
      <c r="A10" s="288" t="s">
        <v>608</v>
      </c>
      <c r="B10" s="289">
        <f>SUBTOTAL(9,B7:B9)</f>
        <v>68000</v>
      </c>
      <c r="C10" s="289">
        <f t="shared" ref="C10:AF10" si="12">SUBTOTAL(9,C7:C9)</f>
        <v>8160000000</v>
      </c>
      <c r="D10" s="289">
        <f t="shared" si="12"/>
        <v>6000</v>
      </c>
      <c r="E10" s="289">
        <f t="shared" si="12"/>
        <v>360000000</v>
      </c>
      <c r="F10" s="289">
        <f t="shared" si="12"/>
        <v>3000</v>
      </c>
      <c r="G10" s="289">
        <f t="shared" si="12"/>
        <v>180000000</v>
      </c>
      <c r="H10" s="289">
        <f>SUBTOTAL(9,H7:H9)</f>
        <v>400</v>
      </c>
      <c r="I10" s="289">
        <f t="shared" ref="I10:K10" si="13">SUBTOTAL(9,I7:I9)</f>
        <v>12000000</v>
      </c>
      <c r="J10" s="289">
        <f t="shared" si="13"/>
        <v>60</v>
      </c>
      <c r="K10" s="289">
        <f t="shared" si="13"/>
        <v>900000</v>
      </c>
      <c r="L10" s="289">
        <f t="shared" si="12"/>
        <v>118000</v>
      </c>
      <c r="M10" s="289">
        <f t="shared" si="12"/>
        <v>47200000000</v>
      </c>
      <c r="N10" s="289">
        <f t="shared" si="12"/>
        <v>4000</v>
      </c>
      <c r="O10" s="289">
        <f t="shared" si="12"/>
        <v>1200000000</v>
      </c>
      <c r="P10" s="289">
        <f t="shared" si="12"/>
        <v>300</v>
      </c>
      <c r="Q10" s="289">
        <f t="shared" si="12"/>
        <v>60000000</v>
      </c>
      <c r="R10" s="289">
        <f t="shared" si="12"/>
        <v>21400</v>
      </c>
      <c r="S10" s="289">
        <f t="shared" si="12"/>
        <v>12840000000</v>
      </c>
      <c r="T10" s="289">
        <f t="shared" si="12"/>
        <v>900</v>
      </c>
      <c r="U10" s="289">
        <f t="shared" si="12"/>
        <v>450000000</v>
      </c>
      <c r="V10" s="289">
        <f t="shared" si="12"/>
        <v>29.9</v>
      </c>
      <c r="W10" s="289">
        <f t="shared" si="12"/>
        <v>8970000</v>
      </c>
      <c r="X10" s="289">
        <f t="shared" si="12"/>
        <v>200</v>
      </c>
      <c r="Y10" s="289">
        <f t="shared" si="12"/>
        <v>130000000</v>
      </c>
      <c r="Z10" s="289">
        <f t="shared" si="12"/>
        <v>15</v>
      </c>
      <c r="AA10" s="289">
        <f t="shared" si="12"/>
        <v>8250000</v>
      </c>
      <c r="AB10" s="289">
        <f t="shared" si="12"/>
        <v>70610120000</v>
      </c>
      <c r="AC10" s="290" t="e">
        <f t="shared" si="12"/>
        <v>#REF!</v>
      </c>
      <c r="AD10" s="291" t="e">
        <f t="shared" si="12"/>
        <v>#REF!</v>
      </c>
      <c r="AE10" s="291">
        <f t="shared" si="12"/>
        <v>8700000000</v>
      </c>
      <c r="AF10" s="291">
        <f t="shared" si="12"/>
        <v>61897220000</v>
      </c>
    </row>
    <row r="11" spans="1:32" s="260" customFormat="1" ht="42" customHeight="1" x14ac:dyDescent="0.3">
      <c r="A11" s="259" t="s">
        <v>597</v>
      </c>
      <c r="B11" s="296">
        <v>52000</v>
      </c>
      <c r="C11" s="297">
        <f t="shared" ref="C11:C13" si="14">B11*120000</f>
        <v>6240000000</v>
      </c>
      <c r="D11" s="296">
        <v>5000</v>
      </c>
      <c r="E11" s="297">
        <f t="shared" ref="E11:E13" si="15">D11*60000</f>
        <v>300000000</v>
      </c>
      <c r="F11" s="296">
        <v>1000</v>
      </c>
      <c r="G11" s="298">
        <f t="shared" ref="G11:G13" si="16">F11*60000</f>
        <v>60000000</v>
      </c>
      <c r="H11" s="296">
        <v>300</v>
      </c>
      <c r="I11" s="297">
        <f>H11*30000</f>
        <v>9000000</v>
      </c>
      <c r="J11" s="296">
        <v>40</v>
      </c>
      <c r="K11" s="297">
        <f>J11*15000</f>
        <v>600000</v>
      </c>
      <c r="L11" s="296">
        <v>43000</v>
      </c>
      <c r="M11" s="297">
        <f t="shared" ref="M11:M13" si="17">L11*400000</f>
        <v>17200000000</v>
      </c>
      <c r="N11" s="296">
        <v>3500</v>
      </c>
      <c r="O11" s="297">
        <f t="shared" ref="O11:O13" si="18">N11*300000</f>
        <v>1050000000</v>
      </c>
      <c r="P11" s="296">
        <v>100</v>
      </c>
      <c r="Q11" s="297">
        <f t="shared" ref="Q11:Q13" si="19">P11*200000</f>
        <v>20000000</v>
      </c>
      <c r="R11" s="296">
        <v>9000</v>
      </c>
      <c r="S11" s="297">
        <f t="shared" ref="S11:S13" si="20">R11*600000</f>
        <v>5400000000</v>
      </c>
      <c r="T11" s="296">
        <v>900</v>
      </c>
      <c r="U11" s="297">
        <f>+T11*500000</f>
        <v>450000000</v>
      </c>
      <c r="V11" s="296">
        <v>4</v>
      </c>
      <c r="W11" s="297">
        <f t="shared" ref="W11:W13" si="21">+V11*300000</f>
        <v>1200000</v>
      </c>
      <c r="X11" s="296">
        <v>100</v>
      </c>
      <c r="Y11" s="297">
        <f t="shared" ref="Y11:Y13" si="22">+X11*650000</f>
        <v>65000000</v>
      </c>
      <c r="Z11" s="300">
        <v>10</v>
      </c>
      <c r="AA11" s="253">
        <f t="shared" ref="AA11:AA13" si="23">Z11*550000</f>
        <v>5500000</v>
      </c>
      <c r="AB11" s="253">
        <f t="shared" ref="AB11:AB13" si="24">+C11+E11+G11+M11+O11+Q11+S11+W11+Y11+AA11+U11+I11+K11</f>
        <v>30801300000</v>
      </c>
      <c r="AC11" s="256" t="e">
        <f>+C11+E11+#REF!+G11+#REF!+#REF!+#REF!+#REF!+#REF!</f>
        <v>#REF!</v>
      </c>
      <c r="AD11" s="256" t="e">
        <f>+M11+O11+Q11+S11+W11+#REF!</f>
        <v>#REF!</v>
      </c>
      <c r="AE11" s="257">
        <f>+C11+E11+G11</f>
        <v>6600000000</v>
      </c>
      <c r="AF11" s="257">
        <f t="shared" ref="AF11:AF13" si="25">+O11+M11+Q11+S11+W11+Y11+AA11+U11</f>
        <v>24191700000</v>
      </c>
    </row>
    <row r="12" spans="1:32" s="260" customFormat="1" ht="42" customHeight="1" x14ac:dyDescent="0.3">
      <c r="A12" s="251" t="s">
        <v>598</v>
      </c>
      <c r="B12" s="296">
        <v>80000</v>
      </c>
      <c r="C12" s="297">
        <f t="shared" si="14"/>
        <v>9600000000</v>
      </c>
      <c r="D12" s="296">
        <v>12000</v>
      </c>
      <c r="E12" s="297">
        <f t="shared" si="15"/>
        <v>720000000</v>
      </c>
      <c r="F12" s="296">
        <v>5000</v>
      </c>
      <c r="G12" s="298">
        <f t="shared" si="16"/>
        <v>300000000</v>
      </c>
      <c r="H12" s="296">
        <v>300</v>
      </c>
      <c r="I12" s="297">
        <f>H12*30000</f>
        <v>9000000</v>
      </c>
      <c r="J12" s="296">
        <v>40</v>
      </c>
      <c r="K12" s="297">
        <f>J12*15000</f>
        <v>600000</v>
      </c>
      <c r="L12" s="296">
        <v>33000</v>
      </c>
      <c r="M12" s="297">
        <f t="shared" si="17"/>
        <v>13200000000</v>
      </c>
      <c r="N12" s="296">
        <v>2200</v>
      </c>
      <c r="O12" s="297">
        <f t="shared" si="18"/>
        <v>660000000</v>
      </c>
      <c r="P12" s="296">
        <v>150</v>
      </c>
      <c r="Q12" s="297">
        <f t="shared" si="19"/>
        <v>30000000</v>
      </c>
      <c r="R12" s="296">
        <v>4999.5</v>
      </c>
      <c r="S12" s="297">
        <f t="shared" si="20"/>
        <v>2999700000</v>
      </c>
      <c r="T12" s="296">
        <v>200</v>
      </c>
      <c r="U12" s="297">
        <f>+T12*500000</f>
        <v>100000000</v>
      </c>
      <c r="V12" s="296">
        <v>5</v>
      </c>
      <c r="W12" s="297">
        <f t="shared" si="21"/>
        <v>1500000</v>
      </c>
      <c r="X12" s="296">
        <v>150</v>
      </c>
      <c r="Y12" s="297">
        <f t="shared" si="22"/>
        <v>97500000</v>
      </c>
      <c r="Z12" s="300">
        <v>10</v>
      </c>
      <c r="AA12" s="253">
        <f t="shared" si="23"/>
        <v>5500000</v>
      </c>
      <c r="AB12" s="253">
        <f t="shared" si="24"/>
        <v>27723800000</v>
      </c>
      <c r="AC12" s="256" t="e">
        <f>+C12+E12+#REF!+G12+#REF!+#REF!+#REF!+#REF!+#REF!</f>
        <v>#REF!</v>
      </c>
      <c r="AD12" s="256" t="e">
        <f>+M12+O12+Q12+S12+W12+#REF!</f>
        <v>#REF!</v>
      </c>
      <c r="AE12" s="257">
        <f>+C12+E12+G12</f>
        <v>10620000000</v>
      </c>
      <c r="AF12" s="257">
        <f t="shared" si="25"/>
        <v>17094200000</v>
      </c>
    </row>
    <row r="13" spans="1:32" s="260" customFormat="1" ht="42" customHeight="1" x14ac:dyDescent="0.3">
      <c r="A13" s="251" t="s">
        <v>599</v>
      </c>
      <c r="B13" s="296">
        <v>144170</v>
      </c>
      <c r="C13" s="297">
        <f t="shared" si="14"/>
        <v>17300400000</v>
      </c>
      <c r="D13" s="296">
        <v>30000</v>
      </c>
      <c r="E13" s="297">
        <f t="shared" si="15"/>
        <v>1800000000</v>
      </c>
      <c r="F13" s="296">
        <v>7000</v>
      </c>
      <c r="G13" s="298">
        <f t="shared" si="16"/>
        <v>420000000</v>
      </c>
      <c r="H13" s="296">
        <v>300</v>
      </c>
      <c r="I13" s="297">
        <f>H13*30000</f>
        <v>9000000</v>
      </c>
      <c r="J13" s="296">
        <v>40</v>
      </c>
      <c r="K13" s="297">
        <f>J13*15000</f>
        <v>600000</v>
      </c>
      <c r="L13" s="296">
        <v>28000</v>
      </c>
      <c r="M13" s="297">
        <f t="shared" si="17"/>
        <v>11200000000</v>
      </c>
      <c r="N13" s="296">
        <v>3200</v>
      </c>
      <c r="O13" s="297">
        <f t="shared" si="18"/>
        <v>960000000</v>
      </c>
      <c r="P13" s="296">
        <v>250</v>
      </c>
      <c r="Q13" s="297">
        <f t="shared" si="19"/>
        <v>50000000</v>
      </c>
      <c r="R13" s="296">
        <v>4000</v>
      </c>
      <c r="S13" s="297">
        <f t="shared" si="20"/>
        <v>2400000000</v>
      </c>
      <c r="T13" s="296">
        <v>400</v>
      </c>
      <c r="U13" s="297">
        <f>+T13*500000</f>
        <v>200000000</v>
      </c>
      <c r="V13" s="296">
        <v>5</v>
      </c>
      <c r="W13" s="297">
        <f t="shared" si="21"/>
        <v>1500000</v>
      </c>
      <c r="X13" s="296">
        <v>60</v>
      </c>
      <c r="Y13" s="297">
        <f t="shared" si="22"/>
        <v>39000000</v>
      </c>
      <c r="Z13" s="300">
        <v>10</v>
      </c>
      <c r="AA13" s="253">
        <f t="shared" si="23"/>
        <v>5500000</v>
      </c>
      <c r="AB13" s="253">
        <f t="shared" si="24"/>
        <v>34386000000</v>
      </c>
      <c r="AC13" s="256" t="e">
        <f>+C13+E13+#REF!+G13+#REF!+#REF!+#REF!+#REF!+#REF!</f>
        <v>#REF!</v>
      </c>
      <c r="AD13" s="256" t="e">
        <f>+M13+O13+Q13+S13+W13+#REF!</f>
        <v>#REF!</v>
      </c>
      <c r="AE13" s="257">
        <f>+C13+E13+G13</f>
        <v>19520400000</v>
      </c>
      <c r="AF13" s="257">
        <f t="shared" si="25"/>
        <v>14856000000</v>
      </c>
    </row>
    <row r="14" spans="1:32" s="292" customFormat="1" ht="42" customHeight="1" x14ac:dyDescent="0.2">
      <c r="A14" s="288" t="s">
        <v>608</v>
      </c>
      <c r="B14" s="289">
        <f>SUBTOTAL(9,B11:B13)</f>
        <v>276170</v>
      </c>
      <c r="C14" s="289">
        <f t="shared" ref="C14:AF14" si="26">SUBTOTAL(9,C11:C13)</f>
        <v>33140400000</v>
      </c>
      <c r="D14" s="289">
        <f t="shared" si="26"/>
        <v>47000</v>
      </c>
      <c r="E14" s="289">
        <f t="shared" si="26"/>
        <v>2820000000</v>
      </c>
      <c r="F14" s="289">
        <f t="shared" si="26"/>
        <v>13000</v>
      </c>
      <c r="G14" s="289">
        <f t="shared" si="26"/>
        <v>780000000</v>
      </c>
      <c r="H14" s="289">
        <f>SUBTOTAL(9,H11:H13)</f>
        <v>900</v>
      </c>
      <c r="I14" s="289">
        <f t="shared" ref="I14:K14" si="27">SUBTOTAL(9,I11:I13)</f>
        <v>27000000</v>
      </c>
      <c r="J14" s="289">
        <f t="shared" si="27"/>
        <v>120</v>
      </c>
      <c r="K14" s="289">
        <f t="shared" si="27"/>
        <v>1800000</v>
      </c>
      <c r="L14" s="289">
        <f t="shared" si="26"/>
        <v>104000</v>
      </c>
      <c r="M14" s="289">
        <f t="shared" si="26"/>
        <v>41600000000</v>
      </c>
      <c r="N14" s="289">
        <f t="shared" si="26"/>
        <v>8900</v>
      </c>
      <c r="O14" s="289">
        <f t="shared" si="26"/>
        <v>2670000000</v>
      </c>
      <c r="P14" s="289">
        <f t="shared" si="26"/>
        <v>500</v>
      </c>
      <c r="Q14" s="289">
        <f t="shared" si="26"/>
        <v>100000000</v>
      </c>
      <c r="R14" s="289">
        <f t="shared" si="26"/>
        <v>17999.5</v>
      </c>
      <c r="S14" s="289">
        <f t="shared" si="26"/>
        <v>10799700000</v>
      </c>
      <c r="T14" s="289">
        <f t="shared" si="26"/>
        <v>1500</v>
      </c>
      <c r="U14" s="289">
        <f t="shared" si="26"/>
        <v>750000000</v>
      </c>
      <c r="V14" s="289">
        <f t="shared" si="26"/>
        <v>14</v>
      </c>
      <c r="W14" s="289">
        <f t="shared" si="26"/>
        <v>4200000</v>
      </c>
      <c r="X14" s="289">
        <f t="shared" si="26"/>
        <v>310</v>
      </c>
      <c r="Y14" s="289">
        <f t="shared" si="26"/>
        <v>201500000</v>
      </c>
      <c r="Z14" s="289">
        <f t="shared" si="26"/>
        <v>30</v>
      </c>
      <c r="AA14" s="289">
        <f t="shared" si="26"/>
        <v>16500000</v>
      </c>
      <c r="AB14" s="289">
        <f t="shared" si="26"/>
        <v>92911100000</v>
      </c>
      <c r="AC14" s="290" t="e">
        <f t="shared" si="26"/>
        <v>#REF!</v>
      </c>
      <c r="AD14" s="291" t="e">
        <f t="shared" si="26"/>
        <v>#REF!</v>
      </c>
      <c r="AE14" s="291">
        <f t="shared" si="26"/>
        <v>36740400000</v>
      </c>
      <c r="AF14" s="291">
        <f t="shared" si="26"/>
        <v>56141900000</v>
      </c>
    </row>
    <row r="15" spans="1:32" s="260" customFormat="1" ht="42" customHeight="1" x14ac:dyDescent="0.3">
      <c r="A15" s="259" t="s">
        <v>601</v>
      </c>
      <c r="B15" s="296">
        <v>132000</v>
      </c>
      <c r="C15" s="297">
        <f>B15*120000</f>
        <v>15840000000</v>
      </c>
      <c r="D15" s="296">
        <v>25000</v>
      </c>
      <c r="E15" s="297">
        <f>D15*60000</f>
        <v>1500000000</v>
      </c>
      <c r="F15" s="296">
        <v>5000</v>
      </c>
      <c r="G15" s="298">
        <f>F15*60000</f>
        <v>300000000</v>
      </c>
      <c r="H15" s="296">
        <v>400</v>
      </c>
      <c r="I15" s="297">
        <f>H15*30000</f>
        <v>12000000</v>
      </c>
      <c r="J15" s="296">
        <v>65</v>
      </c>
      <c r="K15" s="297">
        <f>J15*15000</f>
        <v>975000</v>
      </c>
      <c r="L15" s="296">
        <v>32000</v>
      </c>
      <c r="M15" s="297">
        <f>L15*400000</f>
        <v>12800000000</v>
      </c>
      <c r="N15" s="296">
        <v>4500</v>
      </c>
      <c r="O15" s="297">
        <f>N15*300000</f>
        <v>1350000000</v>
      </c>
      <c r="P15" s="296">
        <v>200</v>
      </c>
      <c r="Q15" s="297">
        <f>P15*200000</f>
        <v>40000000</v>
      </c>
      <c r="R15" s="296">
        <v>5500</v>
      </c>
      <c r="S15" s="297">
        <f>R15*600000</f>
        <v>3300000000</v>
      </c>
      <c r="T15" s="296">
        <v>1067</v>
      </c>
      <c r="U15" s="297">
        <f>+T15*500000</f>
        <v>533500000</v>
      </c>
      <c r="V15" s="296">
        <v>10</v>
      </c>
      <c r="W15" s="297">
        <f t="shared" ref="W15:W16" si="28">+V15*300000</f>
        <v>3000000</v>
      </c>
      <c r="X15" s="296">
        <v>100</v>
      </c>
      <c r="Y15" s="297">
        <f>+X15*650000</f>
        <v>65000000</v>
      </c>
      <c r="Z15" s="299">
        <v>10</v>
      </c>
      <c r="AA15" s="253">
        <f>Z15*550000</f>
        <v>5500000</v>
      </c>
      <c r="AB15" s="253">
        <f t="shared" ref="AB15:AB17" si="29">+C15+E15+G15+M15+O15+Q15+S15+W15+Y15+AA15+U15+I15+K15</f>
        <v>35749975000</v>
      </c>
      <c r="AC15" s="256" t="e">
        <f>+C15+E15+#REF!+G15+#REF!+#REF!+#REF!+#REF!+#REF!</f>
        <v>#REF!</v>
      </c>
      <c r="AD15" s="256" t="e">
        <f>+M15+O15+Q15+S15+W15+#REF!</f>
        <v>#REF!</v>
      </c>
      <c r="AE15" s="257">
        <f>+C15+E15+G15</f>
        <v>17640000000</v>
      </c>
      <c r="AF15" s="257">
        <f t="shared" ref="AF15:AF17" si="30">+O15+M15+Q15+S15+W15+Y15+AA15+U15</f>
        <v>18097000000</v>
      </c>
    </row>
    <row r="16" spans="1:32" s="260" customFormat="1" ht="42" customHeight="1" x14ac:dyDescent="0.3">
      <c r="A16" s="251" t="s">
        <v>602</v>
      </c>
      <c r="B16" s="296">
        <v>47000</v>
      </c>
      <c r="C16" s="297">
        <f>B16*120000</f>
        <v>5640000000</v>
      </c>
      <c r="D16" s="296">
        <v>6500</v>
      </c>
      <c r="E16" s="297">
        <f>D16*60000</f>
        <v>390000000</v>
      </c>
      <c r="F16" s="296">
        <v>2000</v>
      </c>
      <c r="G16" s="298">
        <f>F16*60000</f>
        <v>120000000</v>
      </c>
      <c r="H16" s="296">
        <v>400</v>
      </c>
      <c r="I16" s="297">
        <f>H16*30000</f>
        <v>12000000</v>
      </c>
      <c r="J16" s="296">
        <v>50</v>
      </c>
      <c r="K16" s="297">
        <f>J16*15000</f>
        <v>750000</v>
      </c>
      <c r="L16" s="296">
        <v>32000</v>
      </c>
      <c r="M16" s="297">
        <f>L16*400000</f>
        <v>12800000000</v>
      </c>
      <c r="N16" s="296">
        <v>3500</v>
      </c>
      <c r="O16" s="297">
        <f>N16*300000</f>
        <v>1050000000</v>
      </c>
      <c r="P16" s="296">
        <v>100</v>
      </c>
      <c r="Q16" s="297">
        <f>P16*200000</f>
        <v>20000000</v>
      </c>
      <c r="R16" s="296">
        <v>4600</v>
      </c>
      <c r="S16" s="297">
        <f>R16*600000</f>
        <v>2760000000</v>
      </c>
      <c r="T16" s="296">
        <v>639.1</v>
      </c>
      <c r="U16" s="297">
        <f>T16*500000</f>
        <v>319550000</v>
      </c>
      <c r="V16" s="296">
        <v>10</v>
      </c>
      <c r="W16" s="297">
        <f t="shared" si="28"/>
        <v>3000000</v>
      </c>
      <c r="X16" s="296">
        <v>50</v>
      </c>
      <c r="Y16" s="297">
        <f>+X16*650000</f>
        <v>32500000</v>
      </c>
      <c r="Z16" s="299">
        <v>10</v>
      </c>
      <c r="AA16" s="253">
        <f>Z16*550000</f>
        <v>5500000</v>
      </c>
      <c r="AB16" s="253">
        <f t="shared" si="29"/>
        <v>23153300000</v>
      </c>
      <c r="AC16" s="256" t="e">
        <f>+C16+E16+#REF!+G16+#REF!+#REF!+#REF!+#REF!+#REF!</f>
        <v>#REF!</v>
      </c>
      <c r="AD16" s="256" t="e">
        <f>+M16+O16+Q16+S16+W16+#REF!</f>
        <v>#REF!</v>
      </c>
      <c r="AE16" s="257">
        <f>+C16+E16+G16</f>
        <v>6150000000</v>
      </c>
      <c r="AF16" s="257">
        <f t="shared" si="30"/>
        <v>16990550000</v>
      </c>
    </row>
    <row r="17" spans="1:32" s="260" customFormat="1" ht="42" customHeight="1" x14ac:dyDescent="0.3">
      <c r="A17" s="251" t="s">
        <v>603</v>
      </c>
      <c r="B17" s="296">
        <v>21000</v>
      </c>
      <c r="C17" s="297">
        <f>B17*120000</f>
        <v>2520000000</v>
      </c>
      <c r="D17" s="296">
        <v>3000</v>
      </c>
      <c r="E17" s="297">
        <f>D17*60000</f>
        <v>180000000</v>
      </c>
      <c r="F17" s="296">
        <v>1000</v>
      </c>
      <c r="G17" s="298">
        <f>F17*60000</f>
        <v>60000000</v>
      </c>
      <c r="H17" s="296">
        <v>395</v>
      </c>
      <c r="I17" s="297">
        <f>H17*30000</f>
        <v>11850000</v>
      </c>
      <c r="J17" s="296">
        <v>55</v>
      </c>
      <c r="K17" s="297">
        <f>J17*15000</f>
        <v>825000</v>
      </c>
      <c r="L17" s="296">
        <v>26000</v>
      </c>
      <c r="M17" s="297">
        <f>L17*400000</f>
        <v>10400000000</v>
      </c>
      <c r="N17" s="296">
        <v>2800</v>
      </c>
      <c r="O17" s="297">
        <f>N17*300000</f>
        <v>840000000</v>
      </c>
      <c r="P17" s="296">
        <v>100</v>
      </c>
      <c r="Q17" s="297">
        <f>P17*200000</f>
        <v>20000000</v>
      </c>
      <c r="R17" s="296">
        <v>3800</v>
      </c>
      <c r="S17" s="297">
        <f>R17*600000</f>
        <v>2280000000</v>
      </c>
      <c r="T17" s="296">
        <v>550</v>
      </c>
      <c r="U17" s="297">
        <f>T17*500000</f>
        <v>275000000</v>
      </c>
      <c r="V17" s="296">
        <v>10</v>
      </c>
      <c r="W17" s="297">
        <f>+V17*300000</f>
        <v>3000000</v>
      </c>
      <c r="X17" s="296">
        <v>50</v>
      </c>
      <c r="Y17" s="297">
        <f>+X17*650000</f>
        <v>32500000</v>
      </c>
      <c r="Z17" s="299">
        <v>10</v>
      </c>
      <c r="AA17" s="253">
        <f>Z17*550000</f>
        <v>5500000</v>
      </c>
      <c r="AB17" s="253">
        <f t="shared" si="29"/>
        <v>16628675000</v>
      </c>
      <c r="AC17" s="256" t="e">
        <f>+C17+E17+#REF!+G17+#REF!+#REF!+#REF!+#REF!+#REF!</f>
        <v>#REF!</v>
      </c>
      <c r="AD17" s="256" t="e">
        <f>+M17+O17+Q17+S17+W17+#REF!</f>
        <v>#REF!</v>
      </c>
      <c r="AE17" s="257">
        <f>+C17+E17+G17</f>
        <v>2760000000</v>
      </c>
      <c r="AF17" s="257">
        <f t="shared" si="30"/>
        <v>13856000000</v>
      </c>
    </row>
    <row r="18" spans="1:32" s="292" customFormat="1" ht="42" customHeight="1" x14ac:dyDescent="0.2">
      <c r="A18" s="288" t="s">
        <v>604</v>
      </c>
      <c r="B18" s="296">
        <f>(SUBTOTAL(9,B15:B17))*1.1</f>
        <v>220000.00000000003</v>
      </c>
      <c r="C18" s="289">
        <f t="shared" ref="C18:AF18" si="31">SUBTOTAL(9,C15:C17)</f>
        <v>24000000000</v>
      </c>
      <c r="D18" s="296">
        <f>(SUBTOTAL(9,D15:D17))*1.1</f>
        <v>37950</v>
      </c>
      <c r="E18" s="289">
        <f t="shared" si="31"/>
        <v>2070000000</v>
      </c>
      <c r="F18" s="296">
        <f>(SUBTOTAL(9,F15:F17))*1.1</f>
        <v>8800</v>
      </c>
      <c r="G18" s="289">
        <f t="shared" si="31"/>
        <v>480000000</v>
      </c>
      <c r="H18" s="296">
        <f>(SUBTOTAL(9,H15:H17))*1.1</f>
        <v>1314.5</v>
      </c>
      <c r="I18" s="289">
        <f t="shared" ref="I18" si="32">SUBTOTAL(9,I15:I17)</f>
        <v>35850000</v>
      </c>
      <c r="J18" s="296">
        <f>(SUBTOTAL(9,J15:J17))*1.1</f>
        <v>187.00000000000003</v>
      </c>
      <c r="K18" s="289">
        <f t="shared" ref="K18" si="33">SUBTOTAL(9,K15:K17)</f>
        <v>2550000</v>
      </c>
      <c r="L18" s="296">
        <f>(SUBTOTAL(9,L15:L17))*1.1</f>
        <v>99000.000000000015</v>
      </c>
      <c r="M18" s="289">
        <f t="shared" si="31"/>
        <v>36000000000</v>
      </c>
      <c r="N18" s="296">
        <f>(SUBTOTAL(9,N15:N17))*1.1</f>
        <v>11880.000000000002</v>
      </c>
      <c r="O18" s="289">
        <f t="shared" si="31"/>
        <v>3240000000</v>
      </c>
      <c r="P18" s="296">
        <f>(SUBTOTAL(9,P15:P17))*1.1</f>
        <v>440.00000000000006</v>
      </c>
      <c r="Q18" s="289">
        <f t="shared" si="31"/>
        <v>80000000</v>
      </c>
      <c r="R18" s="296">
        <f>(SUBTOTAL(9,R15:R17))*1.1</f>
        <v>15290.000000000002</v>
      </c>
      <c r="S18" s="289">
        <f t="shared" si="31"/>
        <v>8340000000</v>
      </c>
      <c r="T18" s="296">
        <f>(SUBTOTAL(9,T15:T17))*1.1</f>
        <v>2481.71</v>
      </c>
      <c r="U18" s="289">
        <f t="shared" si="31"/>
        <v>1128050000</v>
      </c>
      <c r="V18" s="296">
        <f>(SUBTOTAL(9,V15:V17))*1.1</f>
        <v>33</v>
      </c>
      <c r="W18" s="289">
        <f t="shared" si="31"/>
        <v>9000000</v>
      </c>
      <c r="X18" s="296">
        <f>(SUBTOTAL(9,X15:X17))*1.1</f>
        <v>220.00000000000003</v>
      </c>
      <c r="Y18" s="289">
        <f t="shared" si="31"/>
        <v>130000000</v>
      </c>
      <c r="Z18" s="289">
        <f t="shared" si="31"/>
        <v>30</v>
      </c>
      <c r="AA18" s="289">
        <f t="shared" si="31"/>
        <v>16500000</v>
      </c>
      <c r="AB18" s="289">
        <f t="shared" si="31"/>
        <v>75531950000</v>
      </c>
      <c r="AC18" s="290" t="e">
        <f t="shared" si="31"/>
        <v>#REF!</v>
      </c>
      <c r="AD18" s="291" t="e">
        <f t="shared" si="31"/>
        <v>#REF!</v>
      </c>
      <c r="AE18" s="291">
        <f t="shared" si="31"/>
        <v>26550000000</v>
      </c>
      <c r="AF18" s="291">
        <f t="shared" si="31"/>
        <v>48943550000</v>
      </c>
    </row>
    <row r="19" spans="1:32" s="260" customFormat="1" ht="42" customHeight="1" x14ac:dyDescent="0.3">
      <c r="A19" s="259" t="s">
        <v>605</v>
      </c>
      <c r="B19" s="296">
        <v>18000</v>
      </c>
      <c r="C19" s="297">
        <f>B19*120000</f>
        <v>2160000000</v>
      </c>
      <c r="D19" s="296">
        <v>2000</v>
      </c>
      <c r="E19" s="297">
        <f>D19*60000</f>
        <v>120000000</v>
      </c>
      <c r="F19" s="296">
        <v>500</v>
      </c>
      <c r="G19" s="298">
        <f>F19*60000</f>
        <v>30000000</v>
      </c>
      <c r="H19" s="296">
        <v>200</v>
      </c>
      <c r="I19" s="297">
        <f>H19*30000</f>
        <v>6000000</v>
      </c>
      <c r="J19" s="296">
        <v>40</v>
      </c>
      <c r="K19" s="297">
        <f>J19*15000</f>
        <v>600000</v>
      </c>
      <c r="L19" s="296">
        <v>33000</v>
      </c>
      <c r="M19" s="297">
        <f>L19*400000</f>
        <v>13200000000</v>
      </c>
      <c r="N19" s="296">
        <v>3800</v>
      </c>
      <c r="O19" s="297">
        <f>N19*300000</f>
        <v>1140000000</v>
      </c>
      <c r="P19" s="296">
        <v>100</v>
      </c>
      <c r="Q19" s="297">
        <f>P19*200000</f>
        <v>20000000</v>
      </c>
      <c r="R19" s="296">
        <v>5000</v>
      </c>
      <c r="S19" s="297">
        <f>R19*600000</f>
        <v>3000000000</v>
      </c>
      <c r="T19" s="296">
        <v>1000</v>
      </c>
      <c r="U19" s="297">
        <f>T19*500000</f>
        <v>500000000</v>
      </c>
      <c r="V19" s="296">
        <v>10</v>
      </c>
      <c r="W19" s="297">
        <f>+V19*300000</f>
        <v>3000000</v>
      </c>
      <c r="X19" s="296">
        <v>50</v>
      </c>
      <c r="Y19" s="297">
        <f>+X19*650000</f>
        <v>32500000</v>
      </c>
      <c r="Z19" s="299">
        <v>5</v>
      </c>
      <c r="AA19" s="253">
        <f>Z19*550000</f>
        <v>2750000</v>
      </c>
      <c r="AB19" s="253">
        <f t="shared" ref="AB19:AB21" si="34">+C19+E19+G19+M19+O19+Q19+S19+W19+Y19+AA19+U19+I19+K19</f>
        <v>20214850000</v>
      </c>
      <c r="AC19" s="256" t="e">
        <f>+C19+E19+#REF!+G19+#REF!+#REF!+#REF!+#REF!+#REF!</f>
        <v>#REF!</v>
      </c>
      <c r="AD19" s="256" t="e">
        <f>+M19+O19+Q19+S19+W19+#REF!</f>
        <v>#REF!</v>
      </c>
      <c r="AE19" s="257">
        <f>+C19+E19+G19</f>
        <v>2310000000</v>
      </c>
      <c r="AF19" s="257">
        <f t="shared" ref="AF19:AF21" si="35">+O19+M19+Q19+S19+W19+Y19+AA19+U19</f>
        <v>17898250000</v>
      </c>
    </row>
    <row r="20" spans="1:32" s="260" customFormat="1" ht="42" customHeight="1" x14ac:dyDescent="0.3">
      <c r="A20" s="251" t="s">
        <v>606</v>
      </c>
      <c r="B20" s="296">
        <v>18000</v>
      </c>
      <c r="C20" s="297">
        <f>B20*120000</f>
        <v>2160000000</v>
      </c>
      <c r="D20" s="296">
        <v>2000</v>
      </c>
      <c r="E20" s="297">
        <f>D20*60000</f>
        <v>120000000</v>
      </c>
      <c r="F20" s="296">
        <v>500</v>
      </c>
      <c r="G20" s="298">
        <f>F20*60000</f>
        <v>30000000</v>
      </c>
      <c r="H20" s="296">
        <v>200</v>
      </c>
      <c r="I20" s="297">
        <f>H20*30000</f>
        <v>6000000</v>
      </c>
      <c r="J20" s="296">
        <v>40</v>
      </c>
      <c r="K20" s="297">
        <f>J20*15000</f>
        <v>600000</v>
      </c>
      <c r="L20" s="296">
        <v>33000</v>
      </c>
      <c r="M20" s="297">
        <f>L20*400000</f>
        <v>13200000000</v>
      </c>
      <c r="N20" s="296">
        <v>3850.0000000000005</v>
      </c>
      <c r="O20" s="297">
        <f>N20*300000</f>
        <v>1155000000.0000002</v>
      </c>
      <c r="P20" s="296">
        <v>100</v>
      </c>
      <c r="Q20" s="297">
        <f>P20*200000</f>
        <v>20000000</v>
      </c>
      <c r="R20" s="296">
        <v>5000</v>
      </c>
      <c r="S20" s="297">
        <f>R20*600000</f>
        <v>3000000000</v>
      </c>
      <c r="T20" s="296">
        <v>1000</v>
      </c>
      <c r="U20" s="297">
        <f>T20*500000</f>
        <v>500000000</v>
      </c>
      <c r="V20" s="296">
        <v>10</v>
      </c>
      <c r="W20" s="297">
        <f>+V20*300000</f>
        <v>3000000</v>
      </c>
      <c r="X20" s="296">
        <v>50</v>
      </c>
      <c r="Y20" s="297">
        <f>+X20*650000</f>
        <v>32500000</v>
      </c>
      <c r="Z20" s="299">
        <v>5</v>
      </c>
      <c r="AA20" s="253">
        <f>Z20*550000</f>
        <v>2750000</v>
      </c>
      <c r="AB20" s="253">
        <f t="shared" si="34"/>
        <v>20229850000</v>
      </c>
      <c r="AC20" s="256" t="e">
        <f>+C20+E20+#REF!+G20+#REF!+#REF!+#REF!+#REF!+#REF!</f>
        <v>#REF!</v>
      </c>
      <c r="AD20" s="256" t="e">
        <f>+M20+O20+Q20+S20+W20+#REF!</f>
        <v>#REF!</v>
      </c>
      <c r="AE20" s="257">
        <f>+C20+E20+G20</f>
        <v>2310000000</v>
      </c>
      <c r="AF20" s="257">
        <f t="shared" si="35"/>
        <v>17913250000</v>
      </c>
    </row>
    <row r="21" spans="1:32" s="260" customFormat="1" ht="42" customHeight="1" x14ac:dyDescent="0.3">
      <c r="A21" s="251" t="s">
        <v>607</v>
      </c>
      <c r="B21" s="296">
        <v>17999</v>
      </c>
      <c r="C21" s="297">
        <f>B21*120000</f>
        <v>2159880000</v>
      </c>
      <c r="D21" s="296">
        <v>2000</v>
      </c>
      <c r="E21" s="297">
        <f>D21*60000</f>
        <v>120000000</v>
      </c>
      <c r="F21" s="296">
        <v>500</v>
      </c>
      <c r="G21" s="298">
        <f>F21*60000</f>
        <v>30000000</v>
      </c>
      <c r="H21" s="296">
        <v>200</v>
      </c>
      <c r="I21" s="297">
        <f>H21*30000</f>
        <v>6000000</v>
      </c>
      <c r="J21" s="296">
        <v>40</v>
      </c>
      <c r="K21" s="297">
        <f>J21*15000</f>
        <v>600000</v>
      </c>
      <c r="L21" s="296">
        <v>33680</v>
      </c>
      <c r="M21" s="297">
        <f>L21*400000</f>
        <v>13472000000</v>
      </c>
      <c r="N21" s="296">
        <v>3850.0000000000005</v>
      </c>
      <c r="O21" s="297">
        <f>N21*300000</f>
        <v>1155000000.0000002</v>
      </c>
      <c r="P21" s="296">
        <v>102</v>
      </c>
      <c r="Q21" s="297">
        <f>P21*200000</f>
        <v>20400000</v>
      </c>
      <c r="R21" s="296">
        <v>5000</v>
      </c>
      <c r="S21" s="297">
        <f>R21*600000</f>
        <v>3000000000</v>
      </c>
      <c r="T21" s="296">
        <v>1000</v>
      </c>
      <c r="U21" s="297">
        <f>T21*500000</f>
        <v>500000000</v>
      </c>
      <c r="V21" s="296">
        <v>10</v>
      </c>
      <c r="W21" s="297">
        <f>+V21*300000</f>
        <v>3000000</v>
      </c>
      <c r="X21" s="296">
        <v>50</v>
      </c>
      <c r="Y21" s="297">
        <f>+X21*650000</f>
        <v>32500000</v>
      </c>
      <c r="Z21" s="299">
        <v>5</v>
      </c>
      <c r="AA21" s="253">
        <f>Z21*550000</f>
        <v>2750000</v>
      </c>
      <c r="AB21" s="253">
        <f t="shared" si="34"/>
        <v>20502130000</v>
      </c>
      <c r="AC21" s="256" t="e">
        <f>+C21+E21+#REF!+G21+#REF!+#REF!+#REF!+#REF!+#REF!</f>
        <v>#REF!</v>
      </c>
      <c r="AD21" s="256" t="e">
        <f>+M21+O21+Q21+S21+W21+#REF!</f>
        <v>#REF!</v>
      </c>
      <c r="AE21" s="257">
        <f>+C21+E21+G21</f>
        <v>2309880000</v>
      </c>
      <c r="AF21" s="257">
        <f t="shared" si="35"/>
        <v>18185650000</v>
      </c>
    </row>
    <row r="22" spans="1:32" s="292" customFormat="1" ht="42" customHeight="1" x14ac:dyDescent="0.2">
      <c r="A22" s="288" t="s">
        <v>608</v>
      </c>
      <c r="B22" s="289">
        <f>SUBTOTAL(9,B19:B21)</f>
        <v>53999</v>
      </c>
      <c r="C22" s="289">
        <f t="shared" ref="C22:AF22" si="36">SUBTOTAL(9,C19:C21)</f>
        <v>6479880000</v>
      </c>
      <c r="D22" s="289">
        <f t="shared" si="36"/>
        <v>6000</v>
      </c>
      <c r="E22" s="289">
        <f t="shared" si="36"/>
        <v>360000000</v>
      </c>
      <c r="F22" s="289">
        <f t="shared" si="36"/>
        <v>1500</v>
      </c>
      <c r="G22" s="289">
        <f t="shared" si="36"/>
        <v>90000000</v>
      </c>
      <c r="H22" s="289">
        <f>SUBTOTAL(9,H19:H21)</f>
        <v>600</v>
      </c>
      <c r="I22" s="289">
        <f t="shared" ref="I22:K22" si="37">SUBTOTAL(9,I19:I21)</f>
        <v>18000000</v>
      </c>
      <c r="J22" s="289">
        <f t="shared" si="37"/>
        <v>120</v>
      </c>
      <c r="K22" s="289">
        <f t="shared" si="37"/>
        <v>1800000</v>
      </c>
      <c r="L22" s="289">
        <f t="shared" si="36"/>
        <v>99680</v>
      </c>
      <c r="M22" s="289">
        <f t="shared" si="36"/>
        <v>39872000000</v>
      </c>
      <c r="N22" s="289">
        <f t="shared" si="36"/>
        <v>11500</v>
      </c>
      <c r="O22" s="289">
        <f t="shared" si="36"/>
        <v>3450000000</v>
      </c>
      <c r="P22" s="289">
        <f t="shared" si="36"/>
        <v>302</v>
      </c>
      <c r="Q22" s="289">
        <f t="shared" si="36"/>
        <v>60400000</v>
      </c>
      <c r="R22" s="289">
        <f t="shared" si="36"/>
        <v>15000</v>
      </c>
      <c r="S22" s="289">
        <f t="shared" si="36"/>
        <v>9000000000</v>
      </c>
      <c r="T22" s="289">
        <f t="shared" si="36"/>
        <v>3000</v>
      </c>
      <c r="U22" s="289">
        <f t="shared" si="36"/>
        <v>1500000000</v>
      </c>
      <c r="V22" s="289">
        <f t="shared" si="36"/>
        <v>30</v>
      </c>
      <c r="W22" s="289">
        <f t="shared" si="36"/>
        <v>9000000</v>
      </c>
      <c r="X22" s="289">
        <f t="shared" si="36"/>
        <v>150</v>
      </c>
      <c r="Y22" s="289">
        <f t="shared" si="36"/>
        <v>97500000</v>
      </c>
      <c r="Z22" s="289">
        <f t="shared" si="36"/>
        <v>15</v>
      </c>
      <c r="AA22" s="289">
        <f t="shared" si="36"/>
        <v>8250000</v>
      </c>
      <c r="AB22" s="289">
        <f t="shared" si="36"/>
        <v>60946830000</v>
      </c>
      <c r="AC22" s="290" t="e">
        <f t="shared" si="36"/>
        <v>#REF!</v>
      </c>
      <c r="AD22" s="291" t="e">
        <f t="shared" si="36"/>
        <v>#REF!</v>
      </c>
      <c r="AE22" s="291">
        <f t="shared" si="36"/>
        <v>6929880000</v>
      </c>
      <c r="AF22" s="291">
        <f t="shared" si="36"/>
        <v>53997150000</v>
      </c>
    </row>
    <row r="23" spans="1:32" s="264" customFormat="1" ht="47.25" customHeight="1" thickBot="1" x14ac:dyDescent="0.3">
      <c r="A23" s="261" t="s">
        <v>964</v>
      </c>
      <c r="B23" s="301">
        <f>SUBTOTAL(9,B7:B22)</f>
        <v>598169</v>
      </c>
      <c r="C23" s="301">
        <f t="shared" ref="C23:AB23" si="38">SUBTOTAL(9,C7:C22)</f>
        <v>71780280000</v>
      </c>
      <c r="D23" s="301">
        <f t="shared" si="38"/>
        <v>93500</v>
      </c>
      <c r="E23" s="301">
        <f t="shared" si="38"/>
        <v>5610000000</v>
      </c>
      <c r="F23" s="301">
        <f t="shared" si="38"/>
        <v>25500</v>
      </c>
      <c r="G23" s="301">
        <f t="shared" si="38"/>
        <v>1530000000</v>
      </c>
      <c r="H23" s="301">
        <f>SUBTOTAL(9,H7:H22)</f>
        <v>3095</v>
      </c>
      <c r="I23" s="301">
        <f t="shared" ref="I23:K23" si="39">SUBTOTAL(9,I7:I22)</f>
        <v>92850000</v>
      </c>
      <c r="J23" s="301">
        <f t="shared" si="39"/>
        <v>470</v>
      </c>
      <c r="K23" s="301">
        <f t="shared" si="39"/>
        <v>7050000</v>
      </c>
      <c r="L23" s="301">
        <f t="shared" si="38"/>
        <v>411680</v>
      </c>
      <c r="M23" s="301">
        <f t="shared" si="38"/>
        <v>164672000000</v>
      </c>
      <c r="N23" s="301">
        <f t="shared" si="38"/>
        <v>35200</v>
      </c>
      <c r="O23" s="301">
        <f t="shared" si="38"/>
        <v>10560000000</v>
      </c>
      <c r="P23" s="301">
        <f t="shared" si="38"/>
        <v>1502</v>
      </c>
      <c r="Q23" s="301">
        <f t="shared" si="38"/>
        <v>300400000</v>
      </c>
      <c r="R23" s="301">
        <f t="shared" si="38"/>
        <v>68299.5</v>
      </c>
      <c r="S23" s="301">
        <f t="shared" si="38"/>
        <v>40979700000</v>
      </c>
      <c r="T23" s="301">
        <f t="shared" si="38"/>
        <v>7656.1</v>
      </c>
      <c r="U23" s="301">
        <f t="shared" si="38"/>
        <v>3828050000</v>
      </c>
      <c r="V23" s="301">
        <f t="shared" si="38"/>
        <v>103.9</v>
      </c>
      <c r="W23" s="301">
        <f t="shared" si="38"/>
        <v>31170000</v>
      </c>
      <c r="X23" s="301">
        <f t="shared" si="38"/>
        <v>860</v>
      </c>
      <c r="Y23" s="301">
        <f t="shared" si="38"/>
        <v>559000000</v>
      </c>
      <c r="Z23" s="301">
        <f t="shared" si="38"/>
        <v>90</v>
      </c>
      <c r="AA23" s="283">
        <f t="shared" si="38"/>
        <v>49500000</v>
      </c>
      <c r="AB23" s="283">
        <f t="shared" si="38"/>
        <v>300000000000</v>
      </c>
      <c r="AC23" s="262" t="e">
        <f>SUBTOTAL(9,AC7:AC21)</f>
        <v>#REF!</v>
      </c>
      <c r="AD23" s="263" t="e">
        <f>SUBTOTAL(9,AD7:AD21)</f>
        <v>#REF!</v>
      </c>
      <c r="AE23" s="283">
        <f t="shared" ref="AE23:AF23" si="40">SUBTOTAL(9,AE7:AE22)</f>
        <v>78920280000</v>
      </c>
      <c r="AF23" s="283">
        <f t="shared" si="40"/>
        <v>220979820000</v>
      </c>
    </row>
    <row r="24" spans="1:32" ht="7.5" customHeight="1" x14ac:dyDescent="0.25">
      <c r="A24" s="265"/>
      <c r="B24" s="266"/>
      <c r="C24" s="267"/>
      <c r="D24" s="267"/>
      <c r="E24" s="267"/>
      <c r="F24" s="266"/>
      <c r="G24" s="267"/>
      <c r="H24" s="266"/>
      <c r="I24" s="267"/>
      <c r="J24" s="267"/>
      <c r="K24" s="267"/>
      <c r="L24" s="267"/>
      <c r="M24" s="267"/>
      <c r="N24" s="267"/>
      <c r="O24" s="267"/>
      <c r="P24" s="267"/>
      <c r="Q24" s="267"/>
      <c r="R24" s="267"/>
      <c r="S24" s="267"/>
      <c r="T24" s="267"/>
      <c r="U24" s="267"/>
      <c r="V24" s="267"/>
      <c r="W24" s="267"/>
      <c r="X24" s="267"/>
      <c r="Y24" s="267"/>
      <c r="Z24" s="267"/>
      <c r="AA24" s="267"/>
      <c r="AB24" s="268"/>
      <c r="AC24" s="245"/>
    </row>
    <row r="25" spans="1:32" ht="7.5" customHeight="1" x14ac:dyDescent="0.25">
      <c r="A25" s="269"/>
      <c r="B25" s="270"/>
      <c r="C25" s="271"/>
      <c r="D25" s="271"/>
      <c r="E25" s="271"/>
      <c r="F25" s="270"/>
      <c r="G25" s="271"/>
      <c r="H25" s="270"/>
      <c r="I25" s="271"/>
      <c r="J25" s="271"/>
      <c r="K25" s="271"/>
      <c r="L25" s="271"/>
      <c r="M25" s="271"/>
      <c r="N25" s="271"/>
      <c r="O25" s="271"/>
      <c r="P25" s="271"/>
      <c r="Q25" s="271"/>
      <c r="R25" s="271"/>
      <c r="S25" s="271"/>
      <c r="T25" s="271"/>
      <c r="U25" s="271"/>
      <c r="V25" s="271"/>
      <c r="W25" s="271"/>
      <c r="X25" s="271"/>
      <c r="Y25" s="271"/>
      <c r="Z25" s="271"/>
      <c r="AA25" s="271"/>
      <c r="AB25" s="272"/>
      <c r="AC25" s="245"/>
      <c r="AD25" s="245"/>
    </row>
    <row r="26" spans="1:32" ht="27" customHeight="1" x14ac:dyDescent="0.25">
      <c r="A26" s="269"/>
      <c r="B26" s="270" t="s">
        <v>610</v>
      </c>
      <c r="C26" s="271">
        <f>+B23+D23+F23+H23+J23</f>
        <v>720734</v>
      </c>
      <c r="D26" s="271"/>
      <c r="E26" s="271"/>
      <c r="F26" s="270"/>
      <c r="G26" s="302"/>
      <c r="H26" s="270"/>
      <c r="I26" s="271"/>
      <c r="J26" s="271"/>
      <c r="K26" s="271"/>
      <c r="L26" s="271"/>
      <c r="M26" s="271"/>
      <c r="N26" s="271"/>
      <c r="O26" s="271"/>
      <c r="P26" s="271"/>
      <c r="Q26" s="271"/>
      <c r="R26" s="271"/>
      <c r="S26" s="271"/>
      <c r="T26" s="271"/>
      <c r="U26" s="271"/>
      <c r="V26" s="271"/>
      <c r="W26" s="271"/>
      <c r="X26" s="271"/>
      <c r="Y26" s="271"/>
      <c r="Z26" s="271"/>
      <c r="AA26" s="271"/>
      <c r="AB26" s="272"/>
      <c r="AC26" s="245"/>
      <c r="AD26" s="245"/>
    </row>
    <row r="27" spans="1:32" ht="15.75" customHeight="1" x14ac:dyDescent="0.25">
      <c r="A27" s="269"/>
      <c r="B27" s="270" t="s">
        <v>611</v>
      </c>
      <c r="C27" s="271">
        <f>+L23+N23+P23+R23+T23+V23+X23+Z23</f>
        <v>525391.5</v>
      </c>
      <c r="D27" s="271"/>
      <c r="E27" s="271"/>
      <c r="F27" s="270"/>
      <c r="G27" s="271"/>
      <c r="H27" s="270"/>
      <c r="I27" s="271"/>
      <c r="J27" s="271"/>
      <c r="K27" s="271"/>
      <c r="L27" s="271"/>
      <c r="M27" s="271"/>
      <c r="N27" s="271"/>
      <c r="O27" s="271"/>
      <c r="P27" s="271"/>
      <c r="Q27" s="271"/>
      <c r="R27" s="271"/>
      <c r="S27" s="271"/>
      <c r="T27" s="271"/>
      <c r="U27" s="271"/>
      <c r="V27" s="271"/>
      <c r="W27" s="271"/>
      <c r="X27" s="271"/>
      <c r="Y27" s="271"/>
      <c r="Z27" s="271"/>
      <c r="AA27" s="271"/>
      <c r="AB27" s="272"/>
      <c r="AC27" s="245"/>
      <c r="AD27" s="245"/>
    </row>
    <row r="28" spans="1:32" ht="15.75" customHeight="1" x14ac:dyDescent="0.25">
      <c r="A28" s="273"/>
      <c r="B28" s="274" t="s">
        <v>520</v>
      </c>
      <c r="C28" s="303">
        <f>SUM(C26:C27)</f>
        <v>1246125.5</v>
      </c>
      <c r="D28" s="276"/>
      <c r="E28" s="276"/>
      <c r="F28" s="276"/>
      <c r="H28" s="274"/>
      <c r="I28" s="303"/>
      <c r="J28" s="276"/>
      <c r="K28" s="276"/>
      <c r="L28" s="273"/>
      <c r="M28" s="273"/>
      <c r="N28" s="273"/>
      <c r="O28" s="273"/>
      <c r="P28" s="273"/>
      <c r="Q28" s="273"/>
      <c r="R28" s="273"/>
      <c r="S28" s="273"/>
      <c r="T28" s="273"/>
      <c r="U28" s="273"/>
      <c r="V28" s="273"/>
      <c r="W28" s="273"/>
      <c r="X28" s="271"/>
      <c r="Y28" s="271"/>
      <c r="Z28" s="271"/>
      <c r="AA28" s="271"/>
      <c r="AB28" s="272"/>
      <c r="AC28" s="245"/>
      <c r="AD28" s="245"/>
    </row>
    <row r="29" spans="1:32" s="276" customFormat="1" ht="97.5" customHeight="1" x14ac:dyDescent="0.2">
      <c r="A29" s="269"/>
      <c r="B29" s="277"/>
      <c r="C29" s="277"/>
      <c r="D29" s="277"/>
      <c r="E29" s="277"/>
      <c r="G29" s="277"/>
      <c r="H29" s="277"/>
      <c r="I29" s="277"/>
      <c r="J29" s="277"/>
      <c r="K29" s="277"/>
      <c r="L29" s="271"/>
      <c r="M29" s="271"/>
      <c r="N29" s="271"/>
      <c r="O29" s="271"/>
      <c r="P29" s="271"/>
      <c r="Q29" s="271"/>
      <c r="R29" s="271"/>
      <c r="S29" s="271"/>
      <c r="T29" s="271"/>
      <c r="U29" s="271"/>
      <c r="V29" s="271"/>
      <c r="W29" s="271"/>
      <c r="X29" s="273"/>
      <c r="Y29" s="273"/>
      <c r="Z29" s="273"/>
      <c r="AA29" s="273"/>
      <c r="AB29" s="273"/>
    </row>
    <row r="30" spans="1:32" ht="15.75" customHeight="1" x14ac:dyDescent="0.25">
      <c r="A30" s="269"/>
      <c r="B30" s="270"/>
      <c r="C30" s="271"/>
      <c r="D30" s="271"/>
      <c r="E30" s="271"/>
      <c r="F30" s="270"/>
      <c r="G30" s="271"/>
      <c r="H30" s="270"/>
      <c r="I30" s="271"/>
      <c r="J30" s="271"/>
      <c r="K30" s="271"/>
      <c r="L30" s="271"/>
      <c r="M30" s="271"/>
      <c r="N30" s="271"/>
      <c r="O30" s="271"/>
      <c r="P30" s="271"/>
      <c r="Q30" s="271"/>
      <c r="R30" s="271"/>
      <c r="S30" s="271"/>
      <c r="T30" s="271"/>
      <c r="U30" s="271"/>
      <c r="V30" s="271"/>
      <c r="W30" s="271"/>
      <c r="X30" s="271"/>
      <c r="Y30" s="271"/>
      <c r="Z30" s="271"/>
      <c r="AA30" s="271"/>
      <c r="AB30" s="272"/>
      <c r="AC30" s="245"/>
      <c r="AD30" s="245"/>
    </row>
    <row r="31" spans="1:32" ht="15.75" customHeight="1" x14ac:dyDescent="0.25">
      <c r="A31" s="269"/>
      <c r="B31" s="270"/>
      <c r="C31" s="271"/>
      <c r="D31" s="271"/>
      <c r="E31" s="271"/>
      <c r="F31" s="270"/>
      <c r="G31" s="271"/>
      <c r="H31" s="270"/>
      <c r="I31" s="271"/>
      <c r="J31" s="271"/>
      <c r="K31" s="271"/>
      <c r="L31" s="271"/>
      <c r="M31" s="271"/>
      <c r="N31" s="271"/>
      <c r="O31" s="271"/>
      <c r="P31" s="271"/>
      <c r="Q31" s="271"/>
      <c r="R31" s="271"/>
      <c r="S31" s="271"/>
      <c r="T31" s="271"/>
      <c r="U31" s="271"/>
      <c r="V31" s="271"/>
      <c r="W31" s="271"/>
      <c r="X31" s="271"/>
      <c r="Y31" s="271"/>
      <c r="Z31" s="271"/>
      <c r="AA31" s="271"/>
      <c r="AB31" s="272"/>
      <c r="AC31" s="245"/>
      <c r="AD31" s="245"/>
    </row>
    <row r="32" spans="1:32" ht="15.75" customHeight="1" x14ac:dyDescent="0.25">
      <c r="A32" s="278"/>
      <c r="B32" s="279"/>
      <c r="C32" s="280"/>
      <c r="D32" s="280"/>
      <c r="E32" s="280"/>
      <c r="F32" s="279"/>
      <c r="G32" s="280"/>
      <c r="H32" s="279"/>
      <c r="I32" s="280"/>
      <c r="J32" s="280"/>
      <c r="K32" s="280"/>
      <c r="L32" s="280"/>
      <c r="M32" s="280"/>
      <c r="N32" s="280"/>
      <c r="O32" s="280"/>
      <c r="P32" s="280"/>
      <c r="Q32" s="280"/>
      <c r="R32" s="280"/>
      <c r="S32" s="280"/>
      <c r="T32" s="280"/>
      <c r="U32" s="280"/>
      <c r="V32" s="280"/>
      <c r="W32" s="280"/>
      <c r="X32" s="271"/>
      <c r="Y32" s="271"/>
      <c r="Z32" s="271"/>
      <c r="AA32" s="271"/>
      <c r="AB32" s="272"/>
      <c r="AC32" s="245"/>
      <c r="AD32" s="245"/>
    </row>
    <row r="33" spans="1:30" ht="15.75" x14ac:dyDescent="0.25">
      <c r="A33" s="278"/>
      <c r="B33" s="279"/>
      <c r="C33" s="280"/>
      <c r="D33" s="280"/>
      <c r="E33" s="280"/>
      <c r="F33" s="279"/>
      <c r="G33" s="280"/>
      <c r="H33" s="279"/>
      <c r="I33" s="280"/>
      <c r="J33" s="280"/>
      <c r="K33" s="280"/>
      <c r="L33" s="280"/>
      <c r="M33" s="280"/>
      <c r="N33" s="280"/>
      <c r="O33" s="280"/>
      <c r="P33" s="280"/>
      <c r="Q33" s="280"/>
      <c r="R33" s="280"/>
      <c r="S33" s="280"/>
      <c r="T33" s="280"/>
      <c r="U33" s="280"/>
      <c r="V33" s="280"/>
      <c r="W33" s="280"/>
      <c r="X33" s="280"/>
      <c r="Y33" s="280"/>
      <c r="Z33" s="280"/>
      <c r="AA33" s="280"/>
      <c r="AB33" s="281"/>
      <c r="AC33" s="245"/>
      <c r="AD33" s="245"/>
    </row>
    <row r="34" spans="1:30" ht="15.75" x14ac:dyDescent="0.25">
      <c r="A34" s="278"/>
      <c r="B34" s="279"/>
      <c r="C34" s="280"/>
      <c r="D34" s="280"/>
      <c r="E34" s="280"/>
      <c r="F34" s="279"/>
      <c r="G34" s="280"/>
      <c r="H34" s="279"/>
      <c r="I34" s="280"/>
      <c r="J34" s="280"/>
      <c r="K34" s="280"/>
      <c r="L34" s="280"/>
      <c r="M34" s="280"/>
      <c r="N34" s="280"/>
      <c r="O34" s="280"/>
      <c r="P34" s="280"/>
      <c r="Q34" s="280"/>
      <c r="R34" s="280"/>
      <c r="S34" s="280"/>
      <c r="T34" s="280"/>
      <c r="U34" s="280"/>
      <c r="V34" s="280"/>
      <c r="W34" s="280"/>
      <c r="X34" s="280"/>
      <c r="Y34" s="280"/>
      <c r="Z34" s="280"/>
      <c r="AA34" s="280"/>
      <c r="AB34" s="281"/>
      <c r="AC34" s="245"/>
      <c r="AD34" s="245"/>
    </row>
    <row r="35" spans="1:30" ht="15.75" x14ac:dyDescent="0.25">
      <c r="A35" s="278"/>
      <c r="B35" s="279"/>
      <c r="C35" s="280"/>
      <c r="D35" s="280"/>
      <c r="E35" s="280"/>
      <c r="F35" s="279"/>
      <c r="G35" s="280"/>
      <c r="H35" s="279"/>
      <c r="I35" s="280"/>
      <c r="J35" s="280"/>
      <c r="K35" s="280"/>
      <c r="L35" s="280"/>
      <c r="M35" s="280"/>
      <c r="N35" s="280"/>
      <c r="O35" s="280"/>
      <c r="P35" s="280"/>
      <c r="Q35" s="280"/>
      <c r="R35" s="280"/>
      <c r="S35" s="280"/>
      <c r="T35" s="280"/>
      <c r="U35" s="280"/>
      <c r="V35" s="280"/>
      <c r="W35" s="280"/>
      <c r="X35" s="280"/>
      <c r="Y35" s="280"/>
      <c r="Z35" s="280"/>
      <c r="AA35" s="280"/>
      <c r="AB35" s="281"/>
      <c r="AC35" s="245"/>
      <c r="AD35" s="245"/>
    </row>
    <row r="36" spans="1:30" ht="15.75" x14ac:dyDescent="0.25">
      <c r="A36" s="278"/>
      <c r="B36" s="279"/>
      <c r="C36" s="280"/>
      <c r="D36" s="280"/>
      <c r="E36" s="280"/>
      <c r="F36" s="279"/>
      <c r="G36" s="280"/>
      <c r="H36" s="279"/>
      <c r="I36" s="280"/>
      <c r="J36" s="280"/>
      <c r="K36" s="280"/>
      <c r="L36" s="280"/>
      <c r="M36" s="280"/>
      <c r="N36" s="280"/>
      <c r="O36" s="280"/>
      <c r="P36" s="280"/>
      <c r="Q36" s="280"/>
      <c r="R36" s="280"/>
      <c r="S36" s="280"/>
      <c r="T36" s="280"/>
      <c r="U36" s="280"/>
      <c r="V36" s="280"/>
      <c r="W36" s="280"/>
      <c r="X36" s="280"/>
      <c r="Y36" s="280"/>
      <c r="Z36" s="280"/>
      <c r="AA36" s="280"/>
      <c r="AB36" s="281"/>
      <c r="AC36" s="245"/>
      <c r="AD36" s="245"/>
    </row>
    <row r="37" spans="1:30" ht="15.75" x14ac:dyDescent="0.25">
      <c r="A37" s="278"/>
      <c r="B37" s="279"/>
      <c r="C37" s="280"/>
      <c r="D37" s="280"/>
      <c r="E37" s="280"/>
      <c r="F37" s="279"/>
      <c r="G37" s="280"/>
      <c r="H37" s="279"/>
      <c r="I37" s="280"/>
      <c r="J37" s="280"/>
      <c r="K37" s="280"/>
      <c r="L37" s="280"/>
      <c r="M37" s="280"/>
      <c r="N37" s="280"/>
      <c r="O37" s="280"/>
      <c r="P37" s="280"/>
      <c r="Q37" s="280"/>
      <c r="R37" s="280"/>
      <c r="S37" s="280"/>
      <c r="T37" s="280"/>
      <c r="U37" s="280"/>
      <c r="V37" s="280"/>
      <c r="W37" s="280"/>
      <c r="X37" s="280"/>
      <c r="Y37" s="280"/>
      <c r="Z37" s="280"/>
      <c r="AA37" s="280"/>
      <c r="AB37" s="281"/>
      <c r="AC37" s="245"/>
      <c r="AD37" s="245"/>
    </row>
    <row r="38" spans="1:30" ht="15.75" x14ac:dyDescent="0.25">
      <c r="A38" s="278"/>
      <c r="B38" s="279"/>
      <c r="C38" s="280"/>
      <c r="D38" s="280"/>
      <c r="E38" s="280"/>
      <c r="F38" s="279"/>
      <c r="G38" s="280"/>
      <c r="H38" s="279"/>
      <c r="I38" s="280"/>
      <c r="J38" s="280"/>
      <c r="K38" s="280"/>
      <c r="L38" s="280"/>
      <c r="M38" s="280"/>
      <c r="N38" s="280"/>
      <c r="O38" s="280"/>
      <c r="P38" s="280"/>
      <c r="Q38" s="280"/>
      <c r="R38" s="280"/>
      <c r="S38" s="280"/>
      <c r="T38" s="280"/>
      <c r="U38" s="280"/>
      <c r="V38" s="280"/>
      <c r="W38" s="280"/>
      <c r="X38" s="280"/>
      <c r="Y38" s="280"/>
      <c r="Z38" s="280"/>
      <c r="AA38" s="280"/>
      <c r="AB38" s="281"/>
      <c r="AC38" s="245"/>
      <c r="AD38" s="245"/>
    </row>
    <row r="39" spans="1:30" ht="15.75" x14ac:dyDescent="0.25">
      <c r="A39" s="278"/>
      <c r="B39" s="279"/>
      <c r="C39" s="280"/>
      <c r="D39" s="280"/>
      <c r="E39" s="280"/>
      <c r="F39" s="279"/>
      <c r="G39" s="280"/>
      <c r="H39" s="279"/>
      <c r="I39" s="280"/>
      <c r="J39" s="280"/>
      <c r="K39" s="280"/>
      <c r="L39" s="280"/>
      <c r="M39" s="280"/>
      <c r="N39" s="280"/>
      <c r="O39" s="280"/>
      <c r="P39" s="280"/>
      <c r="Q39" s="280"/>
      <c r="R39" s="280"/>
      <c r="S39" s="280"/>
      <c r="T39" s="280"/>
      <c r="U39" s="280"/>
      <c r="V39" s="280"/>
      <c r="W39" s="280"/>
      <c r="X39" s="280"/>
      <c r="Y39" s="280"/>
      <c r="Z39" s="280"/>
      <c r="AA39" s="280"/>
      <c r="AB39" s="281"/>
      <c r="AC39" s="245"/>
      <c r="AD39" s="245"/>
    </row>
    <row r="40" spans="1:30" ht="15.75" x14ac:dyDescent="0.25">
      <c r="A40" s="278"/>
      <c r="B40" s="279"/>
      <c r="C40" s="280"/>
      <c r="D40" s="280"/>
      <c r="E40" s="280"/>
      <c r="F40" s="279"/>
      <c r="G40" s="280"/>
      <c r="H40" s="279"/>
      <c r="I40" s="280"/>
      <c r="J40" s="280"/>
      <c r="K40" s="280"/>
      <c r="L40" s="280"/>
      <c r="M40" s="280"/>
      <c r="N40" s="280"/>
      <c r="O40" s="280"/>
      <c r="P40" s="280"/>
      <c r="Q40" s="280"/>
      <c r="R40" s="280"/>
      <c r="S40" s="280"/>
      <c r="T40" s="280"/>
      <c r="U40" s="280"/>
      <c r="V40" s="280"/>
      <c r="W40" s="280"/>
      <c r="X40" s="280"/>
      <c r="Y40" s="280"/>
      <c r="Z40" s="280"/>
      <c r="AA40" s="280"/>
      <c r="AB40" s="281"/>
      <c r="AC40" s="245"/>
      <c r="AD40" s="245"/>
    </row>
    <row r="41" spans="1:30" ht="15.75" x14ac:dyDescent="0.25">
      <c r="A41" s="278"/>
      <c r="B41" s="279"/>
      <c r="C41" s="280"/>
      <c r="D41" s="280"/>
      <c r="E41" s="280"/>
      <c r="F41" s="279"/>
      <c r="G41" s="280"/>
      <c r="H41" s="279"/>
      <c r="I41" s="280"/>
      <c r="J41" s="280"/>
      <c r="K41" s="280"/>
      <c r="L41" s="280"/>
      <c r="M41" s="280"/>
      <c r="N41" s="280"/>
      <c r="O41" s="280"/>
      <c r="P41" s="280"/>
      <c r="Q41" s="280"/>
      <c r="R41" s="280"/>
      <c r="S41" s="280"/>
      <c r="T41" s="280"/>
      <c r="U41" s="280"/>
      <c r="V41" s="280"/>
      <c r="W41" s="280"/>
      <c r="X41" s="280"/>
      <c r="Y41" s="280"/>
      <c r="Z41" s="280"/>
      <c r="AA41" s="280"/>
      <c r="AB41" s="281"/>
      <c r="AC41" s="245"/>
      <c r="AD41" s="245"/>
    </row>
    <row r="42" spans="1:30" ht="15.75" x14ac:dyDescent="0.25">
      <c r="A42" s="278"/>
      <c r="B42" s="279"/>
      <c r="C42" s="280"/>
      <c r="D42" s="280"/>
      <c r="E42" s="280"/>
      <c r="F42" s="279"/>
      <c r="G42" s="280"/>
      <c r="H42" s="279"/>
      <c r="I42" s="280"/>
      <c r="J42" s="280"/>
      <c r="K42" s="280"/>
      <c r="L42" s="280"/>
      <c r="M42" s="280"/>
      <c r="N42" s="280"/>
      <c r="O42" s="280"/>
      <c r="P42" s="280"/>
      <c r="Q42" s="280"/>
      <c r="R42" s="280"/>
      <c r="S42" s="280"/>
      <c r="T42" s="280"/>
      <c r="U42" s="280"/>
      <c r="V42" s="280"/>
      <c r="W42" s="280"/>
      <c r="X42" s="280"/>
      <c r="Y42" s="280"/>
      <c r="Z42" s="280"/>
      <c r="AA42" s="280"/>
      <c r="AB42" s="281"/>
      <c r="AC42" s="245"/>
      <c r="AD42" s="245"/>
    </row>
    <row r="43" spans="1:30" ht="15.75" x14ac:dyDescent="0.25">
      <c r="A43" s="278"/>
      <c r="B43" s="279"/>
      <c r="C43" s="280"/>
      <c r="D43" s="280"/>
      <c r="E43" s="280"/>
      <c r="F43" s="279"/>
      <c r="G43" s="280"/>
      <c r="H43" s="279"/>
      <c r="I43" s="280"/>
      <c r="J43" s="280"/>
      <c r="K43" s="280"/>
      <c r="L43" s="280"/>
      <c r="M43" s="280"/>
      <c r="N43" s="280"/>
      <c r="O43" s="280"/>
      <c r="P43" s="280"/>
      <c r="Q43" s="280"/>
      <c r="R43" s="280"/>
      <c r="S43" s="280"/>
      <c r="T43" s="280"/>
      <c r="U43" s="280"/>
      <c r="V43" s="280"/>
      <c r="W43" s="280"/>
      <c r="X43" s="280"/>
      <c r="Y43" s="280"/>
      <c r="Z43" s="280"/>
      <c r="AA43" s="280"/>
      <c r="AB43" s="281"/>
      <c r="AC43" s="245"/>
      <c r="AD43" s="245"/>
    </row>
    <row r="44" spans="1:30" ht="15.75" x14ac:dyDescent="0.25">
      <c r="A44" s="278"/>
      <c r="B44" s="279"/>
      <c r="C44" s="280"/>
      <c r="D44" s="280"/>
      <c r="E44" s="280"/>
      <c r="F44" s="279"/>
      <c r="G44" s="280"/>
      <c r="H44" s="279"/>
      <c r="I44" s="280"/>
      <c r="J44" s="280"/>
      <c r="K44" s="280"/>
      <c r="L44" s="280"/>
      <c r="M44" s="280"/>
      <c r="N44" s="280"/>
      <c r="O44" s="280"/>
      <c r="P44" s="280"/>
      <c r="Q44" s="280"/>
      <c r="R44" s="280"/>
      <c r="S44" s="280"/>
      <c r="T44" s="280"/>
      <c r="U44" s="280"/>
      <c r="V44" s="280"/>
      <c r="W44" s="280"/>
      <c r="X44" s="280"/>
      <c r="Y44" s="280"/>
      <c r="Z44" s="280"/>
      <c r="AA44" s="280"/>
      <c r="AB44" s="281"/>
      <c r="AC44" s="245"/>
      <c r="AD44" s="245"/>
    </row>
    <row r="45" spans="1:30" ht="15.75" x14ac:dyDescent="0.25">
      <c r="A45" s="278"/>
      <c r="B45" s="279"/>
      <c r="C45" s="280"/>
      <c r="D45" s="280"/>
      <c r="E45" s="280"/>
      <c r="F45" s="279"/>
      <c r="G45" s="280"/>
      <c r="H45" s="279"/>
      <c r="I45" s="280"/>
      <c r="J45" s="280"/>
      <c r="K45" s="280"/>
      <c r="L45" s="280"/>
      <c r="M45" s="280"/>
      <c r="N45" s="280"/>
      <c r="O45" s="280"/>
      <c r="P45" s="280"/>
      <c r="Q45" s="280"/>
      <c r="R45" s="280"/>
      <c r="S45" s="280"/>
      <c r="T45" s="280"/>
      <c r="U45" s="280"/>
      <c r="V45" s="280"/>
      <c r="W45" s="280"/>
      <c r="X45" s="280"/>
      <c r="Y45" s="280"/>
      <c r="Z45" s="280"/>
      <c r="AA45" s="280"/>
      <c r="AB45" s="281"/>
      <c r="AC45" s="245"/>
      <c r="AD45" s="245"/>
    </row>
    <row r="46" spans="1:30" ht="15.75" x14ac:dyDescent="0.25">
      <c r="A46" s="278"/>
      <c r="B46" s="279"/>
      <c r="C46" s="280"/>
      <c r="D46" s="280"/>
      <c r="E46" s="280"/>
      <c r="F46" s="279"/>
      <c r="G46" s="280"/>
      <c r="H46" s="279"/>
      <c r="I46" s="280"/>
      <c r="J46" s="280"/>
      <c r="K46" s="280"/>
      <c r="L46" s="280"/>
      <c r="M46" s="280"/>
      <c r="N46" s="280"/>
      <c r="O46" s="280"/>
      <c r="P46" s="280"/>
      <c r="Q46" s="280"/>
      <c r="R46" s="280"/>
      <c r="S46" s="280"/>
      <c r="T46" s="280"/>
      <c r="U46" s="280"/>
      <c r="V46" s="280"/>
      <c r="W46" s="280"/>
      <c r="X46" s="280"/>
      <c r="Y46" s="280"/>
      <c r="Z46" s="280"/>
      <c r="AA46" s="280"/>
      <c r="AB46" s="281"/>
      <c r="AC46" s="245"/>
      <c r="AD46" s="245"/>
    </row>
    <row r="47" spans="1:30" ht="15.75" x14ac:dyDescent="0.25">
      <c r="A47" s="278"/>
      <c r="B47" s="279"/>
      <c r="C47" s="280"/>
      <c r="D47" s="280"/>
      <c r="E47" s="280"/>
      <c r="F47" s="279"/>
      <c r="G47" s="280"/>
      <c r="H47" s="279"/>
      <c r="I47" s="280"/>
      <c r="J47" s="280"/>
      <c r="K47" s="280"/>
      <c r="L47" s="280"/>
      <c r="M47" s="280"/>
      <c r="N47" s="280"/>
      <c r="O47" s="280"/>
      <c r="P47" s="280"/>
      <c r="Q47" s="280"/>
      <c r="R47" s="280"/>
      <c r="S47" s="280"/>
      <c r="T47" s="280"/>
      <c r="U47" s="280"/>
      <c r="V47" s="280"/>
      <c r="W47" s="280"/>
      <c r="X47" s="280"/>
      <c r="Y47" s="280"/>
      <c r="Z47" s="280"/>
      <c r="AA47" s="280"/>
      <c r="AB47" s="281"/>
      <c r="AC47" s="245"/>
      <c r="AD47" s="245"/>
    </row>
    <row r="48" spans="1:30" ht="15.75" x14ac:dyDescent="0.25">
      <c r="A48" s="278"/>
      <c r="B48" s="279"/>
      <c r="C48" s="280"/>
      <c r="D48" s="280"/>
      <c r="E48" s="280"/>
      <c r="F48" s="279"/>
      <c r="G48" s="280"/>
      <c r="H48" s="279"/>
      <c r="I48" s="280"/>
      <c r="J48" s="280"/>
      <c r="K48" s="280"/>
      <c r="L48" s="280"/>
      <c r="M48" s="280"/>
      <c r="N48" s="280"/>
      <c r="O48" s="280"/>
      <c r="P48" s="280"/>
      <c r="Q48" s="280"/>
      <c r="R48" s="280"/>
      <c r="S48" s="280"/>
      <c r="T48" s="280"/>
      <c r="U48" s="280"/>
      <c r="V48" s="280"/>
      <c r="W48" s="280"/>
      <c r="X48" s="280"/>
      <c r="Y48" s="280"/>
      <c r="Z48" s="280"/>
      <c r="AA48" s="280"/>
      <c r="AB48" s="281"/>
      <c r="AC48" s="245"/>
      <c r="AD48" s="245"/>
    </row>
    <row r="49" spans="1:30" ht="15.75" x14ac:dyDescent="0.25">
      <c r="A49" s="278"/>
      <c r="B49" s="279"/>
      <c r="C49" s="280"/>
      <c r="D49" s="280"/>
      <c r="E49" s="280"/>
      <c r="F49" s="279"/>
      <c r="G49" s="280"/>
      <c r="H49" s="279"/>
      <c r="I49" s="280"/>
      <c r="J49" s="280"/>
      <c r="K49" s="280"/>
      <c r="L49" s="280"/>
      <c r="M49" s="280"/>
      <c r="N49" s="280"/>
      <c r="O49" s="280"/>
      <c r="P49" s="280"/>
      <c r="Q49" s="280"/>
      <c r="R49" s="280"/>
      <c r="S49" s="280"/>
      <c r="T49" s="280"/>
      <c r="U49" s="280"/>
      <c r="V49" s="280"/>
      <c r="W49" s="280"/>
      <c r="X49" s="280"/>
      <c r="Y49" s="280"/>
      <c r="Z49" s="280"/>
      <c r="AA49" s="280"/>
      <c r="AB49" s="281"/>
      <c r="AC49" s="245"/>
      <c r="AD49" s="245"/>
    </row>
    <row r="50" spans="1:30" ht="15.75" x14ac:dyDescent="0.25">
      <c r="A50" s="278"/>
      <c r="B50" s="279"/>
      <c r="C50" s="280"/>
      <c r="D50" s="280"/>
      <c r="E50" s="280"/>
      <c r="F50" s="279"/>
      <c r="G50" s="280"/>
      <c r="H50" s="279"/>
      <c r="I50" s="280"/>
      <c r="J50" s="280"/>
      <c r="K50" s="280"/>
      <c r="L50" s="280"/>
      <c r="M50" s="280"/>
      <c r="N50" s="280"/>
      <c r="O50" s="280"/>
      <c r="P50" s="280"/>
      <c r="Q50" s="280"/>
      <c r="R50" s="280"/>
      <c r="S50" s="280"/>
      <c r="T50" s="280"/>
      <c r="U50" s="280"/>
      <c r="V50" s="280"/>
      <c r="W50" s="280"/>
      <c r="X50" s="280"/>
      <c r="Y50" s="280"/>
      <c r="Z50" s="280"/>
      <c r="AA50" s="280"/>
      <c r="AB50" s="281"/>
      <c r="AC50" s="245"/>
      <c r="AD50" s="245"/>
    </row>
    <row r="51" spans="1:30" ht="15.75" x14ac:dyDescent="0.25">
      <c r="A51" s="278"/>
      <c r="B51" s="279"/>
      <c r="C51" s="280"/>
      <c r="D51" s="280"/>
      <c r="E51" s="280"/>
      <c r="F51" s="279"/>
      <c r="G51" s="280"/>
      <c r="H51" s="279"/>
      <c r="I51" s="280"/>
      <c r="J51" s="280"/>
      <c r="K51" s="280"/>
      <c r="L51" s="280"/>
      <c r="M51" s="280"/>
      <c r="N51" s="280"/>
      <c r="O51" s="280"/>
      <c r="P51" s="280"/>
      <c r="Q51" s="280"/>
      <c r="R51" s="280"/>
      <c r="S51" s="280"/>
      <c r="T51" s="280"/>
      <c r="U51" s="280"/>
      <c r="V51" s="280"/>
      <c r="W51" s="280"/>
      <c r="X51" s="280"/>
      <c r="Y51" s="280"/>
      <c r="Z51" s="280"/>
      <c r="AA51" s="280"/>
      <c r="AB51" s="281"/>
      <c r="AC51" s="245"/>
      <c r="AD51" s="245"/>
    </row>
    <row r="52" spans="1:30" ht="15.75" x14ac:dyDescent="0.25">
      <c r="A52" s="278"/>
      <c r="B52" s="279"/>
      <c r="C52" s="280"/>
      <c r="D52" s="280"/>
      <c r="E52" s="280"/>
      <c r="F52" s="279"/>
      <c r="G52" s="280"/>
      <c r="H52" s="279"/>
      <c r="I52" s="280"/>
      <c r="J52" s="280"/>
      <c r="K52" s="280"/>
      <c r="L52" s="280"/>
      <c r="M52" s="280"/>
      <c r="N52" s="280"/>
      <c r="O52" s="280"/>
      <c r="P52" s="280"/>
      <c r="Q52" s="280"/>
      <c r="R52" s="280"/>
      <c r="S52" s="280"/>
      <c r="T52" s="280"/>
      <c r="U52" s="280"/>
      <c r="V52" s="280"/>
      <c r="W52" s="280"/>
      <c r="X52" s="280"/>
      <c r="Y52" s="280"/>
      <c r="Z52" s="280"/>
      <c r="AA52" s="280"/>
      <c r="AB52" s="281"/>
      <c r="AC52" s="245"/>
      <c r="AD52" s="245"/>
    </row>
    <row r="53" spans="1:30" ht="15.75" x14ac:dyDescent="0.25">
      <c r="A53" s="278"/>
      <c r="B53" s="279"/>
      <c r="C53" s="280"/>
      <c r="D53" s="280"/>
      <c r="E53" s="280"/>
      <c r="F53" s="279"/>
      <c r="G53" s="280"/>
      <c r="H53" s="279"/>
      <c r="I53" s="280"/>
      <c r="J53" s="280"/>
      <c r="K53" s="280"/>
      <c r="L53" s="280"/>
      <c r="M53" s="280"/>
      <c r="N53" s="280"/>
      <c r="O53" s="280"/>
      <c r="P53" s="280"/>
      <c r="Q53" s="280"/>
      <c r="R53" s="280"/>
      <c r="S53" s="280"/>
      <c r="T53" s="280"/>
      <c r="U53" s="280"/>
      <c r="V53" s="280"/>
      <c r="W53" s="280"/>
      <c r="X53" s="280"/>
      <c r="Y53" s="280"/>
      <c r="Z53" s="280"/>
      <c r="AA53" s="280"/>
      <c r="AB53" s="281"/>
      <c r="AC53" s="245"/>
      <c r="AD53" s="245"/>
    </row>
    <row r="54" spans="1:30" ht="15.75" x14ac:dyDescent="0.25">
      <c r="A54" s="278"/>
      <c r="B54" s="279"/>
      <c r="C54" s="280"/>
      <c r="D54" s="280"/>
      <c r="E54" s="280"/>
      <c r="F54" s="279"/>
      <c r="G54" s="280"/>
      <c r="H54" s="279"/>
      <c r="I54" s="280"/>
      <c r="J54" s="280"/>
      <c r="K54" s="280"/>
      <c r="L54" s="280"/>
      <c r="M54" s="280"/>
      <c r="N54" s="280"/>
      <c r="O54" s="280"/>
      <c r="P54" s="280"/>
      <c r="Q54" s="280"/>
      <c r="R54" s="280"/>
      <c r="S54" s="280"/>
      <c r="T54" s="280"/>
      <c r="U54" s="280"/>
      <c r="V54" s="280"/>
      <c r="W54" s="280"/>
      <c r="X54" s="280"/>
      <c r="Y54" s="280"/>
      <c r="Z54" s="280"/>
      <c r="AA54" s="280"/>
      <c r="AB54" s="281"/>
      <c r="AC54" s="245"/>
      <c r="AD54" s="245"/>
    </row>
    <row r="55" spans="1:30" ht="15.75" x14ac:dyDescent="0.25">
      <c r="A55" s="278"/>
      <c r="B55" s="279"/>
      <c r="C55" s="280"/>
      <c r="D55" s="280"/>
      <c r="E55" s="280"/>
      <c r="F55" s="279"/>
      <c r="G55" s="280"/>
      <c r="H55" s="279"/>
      <c r="I55" s="280"/>
      <c r="J55" s="280"/>
      <c r="K55" s="280"/>
      <c r="L55" s="280"/>
      <c r="M55" s="280"/>
      <c r="N55" s="280"/>
      <c r="O55" s="280"/>
      <c r="P55" s="280"/>
      <c r="Q55" s="280"/>
      <c r="R55" s="280"/>
      <c r="S55" s="280"/>
      <c r="T55" s="280"/>
      <c r="U55" s="280"/>
      <c r="V55" s="280"/>
      <c r="W55" s="280"/>
      <c r="X55" s="280"/>
      <c r="Y55" s="280"/>
      <c r="Z55" s="280"/>
      <c r="AA55" s="280"/>
      <c r="AB55" s="281"/>
      <c r="AC55" s="245"/>
      <c r="AD55" s="245"/>
    </row>
    <row r="56" spans="1:30" ht="15.75" x14ac:dyDescent="0.25">
      <c r="A56" s="278"/>
      <c r="B56" s="279"/>
      <c r="C56" s="280"/>
      <c r="D56" s="280"/>
      <c r="E56" s="280"/>
      <c r="F56" s="279"/>
      <c r="G56" s="280"/>
      <c r="H56" s="279"/>
      <c r="I56" s="280"/>
      <c r="J56" s="280"/>
      <c r="K56" s="280"/>
      <c r="L56" s="280"/>
      <c r="M56" s="280"/>
      <c r="N56" s="280"/>
      <c r="O56" s="280"/>
      <c r="P56" s="280"/>
      <c r="Q56" s="280"/>
      <c r="R56" s="280"/>
      <c r="S56" s="280"/>
      <c r="T56" s="280"/>
      <c r="U56" s="280"/>
      <c r="V56" s="280"/>
      <c r="W56" s="280"/>
      <c r="X56" s="280"/>
      <c r="Y56" s="280"/>
      <c r="Z56" s="280"/>
      <c r="AA56" s="280"/>
      <c r="AB56" s="281"/>
      <c r="AC56" s="245"/>
      <c r="AD56" s="245"/>
    </row>
    <row r="57" spans="1:30" ht="15.75" x14ac:dyDescent="0.25">
      <c r="A57" s="278"/>
      <c r="B57" s="279"/>
      <c r="C57" s="280"/>
      <c r="D57" s="280"/>
      <c r="E57" s="280"/>
      <c r="F57" s="279"/>
      <c r="G57" s="280"/>
      <c r="H57" s="279"/>
      <c r="I57" s="280"/>
      <c r="J57" s="280"/>
      <c r="K57" s="280"/>
      <c r="L57" s="280"/>
      <c r="M57" s="280"/>
      <c r="N57" s="280"/>
      <c r="O57" s="280"/>
      <c r="P57" s="280"/>
      <c r="Q57" s="280"/>
      <c r="R57" s="280"/>
      <c r="S57" s="280"/>
      <c r="T57" s="280"/>
      <c r="U57" s="280"/>
      <c r="V57" s="280"/>
      <c r="W57" s="280"/>
      <c r="X57" s="280"/>
      <c r="Y57" s="280"/>
      <c r="Z57" s="280"/>
      <c r="AA57" s="280"/>
      <c r="AB57" s="281"/>
      <c r="AC57" s="245"/>
      <c r="AD57" s="245"/>
    </row>
    <row r="58" spans="1:30" ht="15.75" x14ac:dyDescent="0.25">
      <c r="A58" s="278"/>
      <c r="B58" s="279"/>
      <c r="C58" s="280"/>
      <c r="D58" s="280"/>
      <c r="E58" s="280"/>
      <c r="F58" s="279"/>
      <c r="G58" s="280"/>
      <c r="H58" s="279"/>
      <c r="I58" s="280"/>
      <c r="J58" s="280"/>
      <c r="K58" s="280"/>
      <c r="L58" s="280"/>
      <c r="M58" s="280"/>
      <c r="N58" s="280"/>
      <c r="O58" s="280"/>
      <c r="P58" s="280"/>
      <c r="Q58" s="280"/>
      <c r="R58" s="280"/>
      <c r="S58" s="280"/>
      <c r="T58" s="280"/>
      <c r="U58" s="280"/>
      <c r="V58" s="280"/>
      <c r="W58" s="280"/>
      <c r="X58" s="280"/>
      <c r="Y58" s="280"/>
      <c r="Z58" s="280"/>
      <c r="AA58" s="280"/>
      <c r="AB58" s="281"/>
      <c r="AC58" s="245"/>
      <c r="AD58" s="245"/>
    </row>
    <row r="59" spans="1:30" ht="15.75" x14ac:dyDescent="0.25">
      <c r="A59" s="278"/>
      <c r="B59" s="279"/>
      <c r="C59" s="280"/>
      <c r="D59" s="280"/>
      <c r="E59" s="280"/>
      <c r="F59" s="279"/>
      <c r="G59" s="280"/>
      <c r="H59" s="279"/>
      <c r="I59" s="280"/>
      <c r="J59" s="280"/>
      <c r="K59" s="280"/>
      <c r="L59" s="280"/>
      <c r="M59" s="280"/>
      <c r="N59" s="280"/>
      <c r="O59" s="280"/>
      <c r="P59" s="280"/>
      <c r="Q59" s="280"/>
      <c r="R59" s="280"/>
      <c r="S59" s="280"/>
      <c r="T59" s="280"/>
      <c r="U59" s="280"/>
      <c r="V59" s="280"/>
      <c r="W59" s="280"/>
      <c r="X59" s="280"/>
      <c r="Y59" s="280"/>
      <c r="Z59" s="280"/>
      <c r="AA59" s="280"/>
      <c r="AB59" s="281"/>
      <c r="AC59" s="245"/>
      <c r="AD59" s="245"/>
    </row>
    <row r="60" spans="1:30" ht="15.75" x14ac:dyDescent="0.25">
      <c r="A60" s="278"/>
      <c r="B60" s="279"/>
      <c r="C60" s="280"/>
      <c r="D60" s="280"/>
      <c r="E60" s="280"/>
      <c r="F60" s="279"/>
      <c r="G60" s="280"/>
      <c r="H60" s="279"/>
      <c r="I60" s="280"/>
      <c r="J60" s="280"/>
      <c r="K60" s="280"/>
      <c r="L60" s="280"/>
      <c r="M60" s="280"/>
      <c r="N60" s="280"/>
      <c r="O60" s="280"/>
      <c r="P60" s="280"/>
      <c r="Q60" s="280"/>
      <c r="R60" s="280"/>
      <c r="S60" s="280"/>
      <c r="T60" s="280"/>
      <c r="U60" s="280"/>
      <c r="V60" s="280"/>
      <c r="W60" s="280"/>
      <c r="X60" s="280"/>
      <c r="Y60" s="280"/>
      <c r="Z60" s="280"/>
      <c r="AA60" s="280"/>
      <c r="AB60" s="281"/>
      <c r="AC60" s="245"/>
      <c r="AD60" s="245"/>
    </row>
    <row r="61" spans="1:30" ht="15.75" x14ac:dyDescent="0.25">
      <c r="A61" s="278"/>
      <c r="B61" s="279"/>
      <c r="C61" s="280"/>
      <c r="D61" s="280"/>
      <c r="E61" s="280"/>
      <c r="F61" s="279"/>
      <c r="G61" s="280"/>
      <c r="H61" s="279"/>
      <c r="I61" s="280"/>
      <c r="J61" s="280"/>
      <c r="K61" s="280"/>
      <c r="L61" s="280"/>
      <c r="M61" s="280"/>
      <c r="N61" s="280"/>
      <c r="O61" s="280"/>
      <c r="P61" s="280"/>
      <c r="Q61" s="280"/>
      <c r="R61" s="280"/>
      <c r="S61" s="280"/>
      <c r="T61" s="280"/>
      <c r="U61" s="280"/>
      <c r="V61" s="280"/>
      <c r="W61" s="280"/>
      <c r="X61" s="280"/>
      <c r="Y61" s="280"/>
      <c r="Z61" s="280"/>
      <c r="AA61" s="280"/>
      <c r="AB61" s="281"/>
      <c r="AC61" s="245"/>
      <c r="AD61" s="245"/>
    </row>
    <row r="62" spans="1:30" ht="15.75" x14ac:dyDescent="0.25">
      <c r="A62" s="278"/>
      <c r="B62" s="279"/>
      <c r="C62" s="280"/>
      <c r="D62" s="280"/>
      <c r="E62" s="280"/>
      <c r="F62" s="279"/>
      <c r="G62" s="280"/>
      <c r="H62" s="279"/>
      <c r="I62" s="280"/>
      <c r="J62" s="280"/>
      <c r="K62" s="280"/>
      <c r="L62" s="280"/>
      <c r="M62" s="280"/>
      <c r="N62" s="280"/>
      <c r="O62" s="280"/>
      <c r="P62" s="280"/>
      <c r="Q62" s="280"/>
      <c r="R62" s="280"/>
      <c r="S62" s="280"/>
      <c r="T62" s="280"/>
      <c r="U62" s="280"/>
      <c r="V62" s="280"/>
      <c r="W62" s="280"/>
      <c r="X62" s="280"/>
      <c r="Y62" s="280"/>
      <c r="Z62" s="280"/>
      <c r="AA62" s="280"/>
      <c r="AB62" s="281"/>
      <c r="AC62" s="245"/>
      <c r="AD62" s="245"/>
    </row>
    <row r="63" spans="1:30" ht="15.75" x14ac:dyDescent="0.25">
      <c r="A63" s="278"/>
      <c r="B63" s="279"/>
      <c r="C63" s="280"/>
      <c r="D63" s="280"/>
      <c r="E63" s="280"/>
      <c r="F63" s="279"/>
      <c r="G63" s="280"/>
      <c r="H63" s="279"/>
      <c r="I63" s="280"/>
      <c r="J63" s="280"/>
      <c r="K63" s="280"/>
      <c r="L63" s="280"/>
      <c r="M63" s="280"/>
      <c r="N63" s="280"/>
      <c r="O63" s="280"/>
      <c r="P63" s="280"/>
      <c r="Q63" s="280"/>
      <c r="R63" s="280"/>
      <c r="S63" s="280"/>
      <c r="T63" s="280"/>
      <c r="U63" s="280"/>
      <c r="V63" s="280"/>
      <c r="W63" s="280"/>
      <c r="X63" s="280"/>
      <c r="Y63" s="280"/>
      <c r="Z63" s="280"/>
      <c r="AA63" s="280"/>
      <c r="AB63" s="281"/>
      <c r="AC63" s="245"/>
      <c r="AD63" s="245"/>
    </row>
    <row r="64" spans="1:30" ht="15.75" x14ac:dyDescent="0.25">
      <c r="A64" s="278"/>
      <c r="B64" s="279"/>
      <c r="C64" s="280"/>
      <c r="D64" s="280"/>
      <c r="E64" s="280"/>
      <c r="F64" s="279"/>
      <c r="G64" s="280"/>
      <c r="H64" s="279"/>
      <c r="I64" s="280"/>
      <c r="J64" s="280"/>
      <c r="K64" s="280"/>
      <c r="L64" s="280"/>
      <c r="M64" s="280"/>
      <c r="N64" s="280"/>
      <c r="O64" s="280"/>
      <c r="P64" s="280"/>
      <c r="Q64" s="280"/>
      <c r="R64" s="280"/>
      <c r="S64" s="280"/>
      <c r="T64" s="280"/>
      <c r="U64" s="280"/>
      <c r="V64" s="280"/>
      <c r="W64" s="280"/>
      <c r="X64" s="280"/>
      <c r="Y64" s="280"/>
      <c r="Z64" s="280"/>
      <c r="AA64" s="280"/>
      <c r="AB64" s="281"/>
      <c r="AC64" s="245"/>
      <c r="AD64" s="245"/>
    </row>
    <row r="65" spans="1:30" ht="15.75" x14ac:dyDescent="0.25">
      <c r="A65" s="278"/>
      <c r="B65" s="279"/>
      <c r="C65" s="280"/>
      <c r="D65" s="280"/>
      <c r="E65" s="280"/>
      <c r="F65" s="279"/>
      <c r="G65" s="280"/>
      <c r="H65" s="279"/>
      <c r="I65" s="280"/>
      <c r="J65" s="280"/>
      <c r="K65" s="280"/>
      <c r="L65" s="280"/>
      <c r="M65" s="280"/>
      <c r="N65" s="280"/>
      <c r="O65" s="280"/>
      <c r="P65" s="280"/>
      <c r="Q65" s="280"/>
      <c r="R65" s="280"/>
      <c r="S65" s="280"/>
      <c r="T65" s="280"/>
      <c r="U65" s="280"/>
      <c r="V65" s="280"/>
      <c r="W65" s="280"/>
      <c r="X65" s="280"/>
      <c r="Y65" s="280"/>
      <c r="Z65" s="280"/>
      <c r="AA65" s="280"/>
      <c r="AB65" s="281"/>
      <c r="AC65" s="245"/>
      <c r="AD65" s="245"/>
    </row>
    <row r="66" spans="1:30" ht="15.75" x14ac:dyDescent="0.25">
      <c r="A66" s="278"/>
      <c r="B66" s="279"/>
      <c r="C66" s="280"/>
      <c r="D66" s="280"/>
      <c r="E66" s="280"/>
      <c r="F66" s="279"/>
      <c r="G66" s="280"/>
      <c r="H66" s="279"/>
      <c r="I66" s="280"/>
      <c r="J66" s="280"/>
      <c r="K66" s="280"/>
      <c r="L66" s="280"/>
      <c r="M66" s="280"/>
      <c r="N66" s="280"/>
      <c r="O66" s="280"/>
      <c r="P66" s="280"/>
      <c r="Q66" s="280"/>
      <c r="R66" s="280"/>
      <c r="S66" s="280"/>
      <c r="T66" s="280"/>
      <c r="U66" s="280"/>
      <c r="V66" s="280"/>
      <c r="W66" s="280"/>
      <c r="X66" s="280"/>
      <c r="Y66" s="280"/>
      <c r="Z66" s="280"/>
      <c r="AA66" s="280"/>
      <c r="AB66" s="281"/>
      <c r="AC66" s="245"/>
      <c r="AD66" s="245"/>
    </row>
    <row r="67" spans="1:30" ht="15.75" x14ac:dyDescent="0.25">
      <c r="A67" s="278"/>
      <c r="B67" s="279"/>
      <c r="C67" s="280"/>
      <c r="D67" s="280"/>
      <c r="E67" s="280"/>
      <c r="F67" s="279"/>
      <c r="G67" s="280"/>
      <c r="H67" s="279"/>
      <c r="I67" s="280"/>
      <c r="J67" s="280"/>
      <c r="K67" s="280"/>
      <c r="L67" s="280"/>
      <c r="M67" s="280"/>
      <c r="N67" s="280"/>
      <c r="O67" s="280"/>
      <c r="P67" s="280"/>
      <c r="Q67" s="280"/>
      <c r="R67" s="280"/>
      <c r="S67" s="280"/>
      <c r="T67" s="280"/>
      <c r="U67" s="280"/>
      <c r="V67" s="280"/>
      <c r="W67" s="280"/>
      <c r="X67" s="280"/>
      <c r="Y67" s="280"/>
      <c r="Z67" s="280"/>
      <c r="AA67" s="280"/>
      <c r="AB67" s="281"/>
      <c r="AC67" s="245"/>
      <c r="AD67" s="245"/>
    </row>
    <row r="68" spans="1:30" ht="15.75" x14ac:dyDescent="0.25">
      <c r="A68" s="278"/>
      <c r="B68" s="279"/>
      <c r="C68" s="280"/>
      <c r="D68" s="280"/>
      <c r="E68" s="280"/>
      <c r="F68" s="279"/>
      <c r="G68" s="280"/>
      <c r="H68" s="279"/>
      <c r="I68" s="280"/>
      <c r="J68" s="280"/>
      <c r="K68" s="280"/>
      <c r="L68" s="280"/>
      <c r="M68" s="280"/>
      <c r="N68" s="280"/>
      <c r="O68" s="280"/>
      <c r="P68" s="280"/>
      <c r="Q68" s="280"/>
      <c r="R68" s="280"/>
      <c r="S68" s="280"/>
      <c r="T68" s="280"/>
      <c r="U68" s="280"/>
      <c r="V68" s="280"/>
      <c r="W68" s="280"/>
      <c r="X68" s="280"/>
      <c r="Y68" s="280"/>
      <c r="Z68" s="280"/>
      <c r="AA68" s="280"/>
      <c r="AB68" s="281"/>
      <c r="AC68" s="245"/>
      <c r="AD68" s="245"/>
    </row>
    <row r="69" spans="1:30" ht="15.75" x14ac:dyDescent="0.25">
      <c r="A69" s="278"/>
      <c r="B69" s="279"/>
      <c r="C69" s="280"/>
      <c r="D69" s="280"/>
      <c r="E69" s="280"/>
      <c r="F69" s="279"/>
      <c r="G69" s="280"/>
      <c r="H69" s="279"/>
      <c r="I69" s="280"/>
      <c r="J69" s="280"/>
      <c r="K69" s="280"/>
      <c r="L69" s="280"/>
      <c r="M69" s="280"/>
      <c r="N69" s="280"/>
      <c r="O69" s="280"/>
      <c r="P69" s="280"/>
      <c r="Q69" s="280"/>
      <c r="R69" s="280"/>
      <c r="S69" s="280"/>
      <c r="T69" s="280"/>
      <c r="U69" s="280"/>
      <c r="V69" s="280"/>
      <c r="W69" s="280"/>
      <c r="X69" s="280"/>
      <c r="Y69" s="280"/>
      <c r="Z69" s="280"/>
      <c r="AA69" s="280"/>
      <c r="AB69" s="281"/>
      <c r="AC69" s="245"/>
      <c r="AD69" s="245"/>
    </row>
    <row r="70" spans="1:30" ht="15.75" x14ac:dyDescent="0.25">
      <c r="A70" s="278"/>
      <c r="B70" s="279"/>
      <c r="C70" s="280"/>
      <c r="D70" s="280"/>
      <c r="E70" s="280"/>
      <c r="F70" s="279"/>
      <c r="G70" s="280"/>
      <c r="H70" s="279"/>
      <c r="I70" s="280"/>
      <c r="J70" s="280"/>
      <c r="K70" s="280"/>
      <c r="L70" s="280"/>
      <c r="M70" s="280"/>
      <c r="N70" s="280"/>
      <c r="O70" s="280"/>
      <c r="P70" s="280"/>
      <c r="Q70" s="280"/>
      <c r="R70" s="280"/>
      <c r="S70" s="280"/>
      <c r="T70" s="280"/>
      <c r="U70" s="280"/>
      <c r="V70" s="280"/>
      <c r="W70" s="280"/>
      <c r="X70" s="280"/>
      <c r="Y70" s="280"/>
      <c r="Z70" s="280"/>
      <c r="AA70" s="280"/>
      <c r="AB70" s="281"/>
      <c r="AC70" s="245"/>
      <c r="AD70" s="245"/>
    </row>
    <row r="71" spans="1:30" ht="15.75" x14ac:dyDescent="0.25">
      <c r="A71" s="278"/>
      <c r="B71" s="279"/>
      <c r="C71" s="280"/>
      <c r="D71" s="280"/>
      <c r="E71" s="280"/>
      <c r="F71" s="279"/>
      <c r="G71" s="280"/>
      <c r="H71" s="279"/>
      <c r="I71" s="280"/>
      <c r="J71" s="280"/>
      <c r="K71" s="280"/>
      <c r="L71" s="280"/>
      <c r="M71" s="280"/>
      <c r="N71" s="280"/>
      <c r="O71" s="280"/>
      <c r="P71" s="280"/>
      <c r="Q71" s="280"/>
      <c r="R71" s="280"/>
      <c r="S71" s="280"/>
      <c r="T71" s="280"/>
      <c r="U71" s="280"/>
      <c r="V71" s="280"/>
      <c r="W71" s="280"/>
      <c r="X71" s="280"/>
      <c r="Y71" s="280"/>
      <c r="Z71" s="280"/>
      <c r="AA71" s="280"/>
      <c r="AB71" s="281"/>
      <c r="AC71" s="245"/>
      <c r="AD71" s="245"/>
    </row>
    <row r="72" spans="1:30" ht="15.75" x14ac:dyDescent="0.25">
      <c r="A72" s="278"/>
      <c r="B72" s="279"/>
      <c r="C72" s="280"/>
      <c r="D72" s="280"/>
      <c r="E72" s="280"/>
      <c r="F72" s="279"/>
      <c r="G72" s="280"/>
      <c r="H72" s="279"/>
      <c r="I72" s="280"/>
      <c r="J72" s="280"/>
      <c r="K72" s="280"/>
      <c r="L72" s="280"/>
      <c r="M72" s="280"/>
      <c r="N72" s="280"/>
      <c r="O72" s="280"/>
      <c r="P72" s="280"/>
      <c r="Q72" s="280"/>
      <c r="R72" s="280"/>
      <c r="S72" s="280"/>
      <c r="T72" s="280"/>
      <c r="U72" s="280"/>
      <c r="V72" s="280"/>
      <c r="W72" s="280"/>
      <c r="X72" s="280"/>
      <c r="Y72" s="280"/>
      <c r="Z72" s="280"/>
      <c r="AA72" s="280"/>
      <c r="AB72" s="281"/>
      <c r="AC72" s="245"/>
      <c r="AD72" s="245"/>
    </row>
    <row r="73" spans="1:30" ht="15.75" x14ac:dyDescent="0.25">
      <c r="A73" s="278"/>
      <c r="B73" s="279"/>
      <c r="C73" s="280"/>
      <c r="D73" s="280"/>
      <c r="E73" s="280"/>
      <c r="F73" s="279"/>
      <c r="G73" s="280"/>
      <c r="H73" s="279"/>
      <c r="I73" s="280"/>
      <c r="J73" s="280"/>
      <c r="K73" s="280"/>
      <c r="L73" s="280"/>
      <c r="M73" s="280"/>
      <c r="N73" s="280"/>
      <c r="O73" s="280"/>
      <c r="P73" s="280"/>
      <c r="Q73" s="280"/>
      <c r="R73" s="280"/>
      <c r="S73" s="280"/>
      <c r="T73" s="280"/>
      <c r="U73" s="280"/>
      <c r="V73" s="280"/>
      <c r="W73" s="280"/>
      <c r="X73" s="280"/>
      <c r="Y73" s="280"/>
      <c r="Z73" s="280"/>
      <c r="AA73" s="280"/>
      <c r="AB73" s="281"/>
      <c r="AC73" s="245"/>
      <c r="AD73" s="245"/>
    </row>
    <row r="74" spans="1:30" ht="15.75" x14ac:dyDescent="0.25">
      <c r="A74" s="278"/>
      <c r="B74" s="279"/>
      <c r="C74" s="280"/>
      <c r="D74" s="280"/>
      <c r="E74" s="280"/>
      <c r="F74" s="279"/>
      <c r="G74" s="280"/>
      <c r="H74" s="279"/>
      <c r="I74" s="280"/>
      <c r="J74" s="280"/>
      <c r="K74" s="280"/>
      <c r="L74" s="280"/>
      <c r="M74" s="280"/>
      <c r="N74" s="280"/>
      <c r="O74" s="280"/>
      <c r="P74" s="280"/>
      <c r="Q74" s="280"/>
      <c r="R74" s="280"/>
      <c r="S74" s="280"/>
      <c r="T74" s="280"/>
      <c r="U74" s="280"/>
      <c r="V74" s="280"/>
      <c r="W74" s="280"/>
      <c r="X74" s="280"/>
      <c r="Y74" s="280"/>
      <c r="Z74" s="280"/>
      <c r="AA74" s="280"/>
      <c r="AB74" s="281"/>
      <c r="AC74" s="245"/>
      <c r="AD74" s="245"/>
    </row>
    <row r="75" spans="1:30" ht="15.75" x14ac:dyDescent="0.25">
      <c r="A75" s="278"/>
      <c r="B75" s="279"/>
      <c r="C75" s="280"/>
      <c r="D75" s="280"/>
      <c r="E75" s="280"/>
      <c r="F75" s="279"/>
      <c r="G75" s="280"/>
      <c r="H75" s="279"/>
      <c r="I75" s="280"/>
      <c r="J75" s="280"/>
      <c r="K75" s="280"/>
      <c r="L75" s="280"/>
      <c r="M75" s="280"/>
      <c r="N75" s="280"/>
      <c r="O75" s="280"/>
      <c r="P75" s="280"/>
      <c r="Q75" s="280"/>
      <c r="R75" s="280"/>
      <c r="S75" s="280"/>
      <c r="T75" s="280"/>
      <c r="U75" s="280"/>
      <c r="V75" s="280"/>
      <c r="W75" s="280"/>
      <c r="X75" s="280"/>
      <c r="Y75" s="280"/>
      <c r="Z75" s="280"/>
      <c r="AA75" s="280"/>
      <c r="AB75" s="281"/>
      <c r="AC75" s="245"/>
      <c r="AD75" s="245"/>
    </row>
    <row r="76" spans="1:30" ht="15.75" x14ac:dyDescent="0.25">
      <c r="A76" s="278"/>
      <c r="B76" s="279"/>
      <c r="C76" s="280"/>
      <c r="D76" s="280"/>
      <c r="E76" s="280"/>
      <c r="F76" s="279"/>
      <c r="G76" s="280"/>
      <c r="H76" s="279"/>
      <c r="I76" s="280"/>
      <c r="J76" s="280"/>
      <c r="K76" s="280"/>
      <c r="L76" s="280"/>
      <c r="M76" s="280"/>
      <c r="N76" s="280"/>
      <c r="O76" s="280"/>
      <c r="P76" s="280"/>
      <c r="Q76" s="280"/>
      <c r="R76" s="280"/>
      <c r="S76" s="280"/>
      <c r="T76" s="280"/>
      <c r="U76" s="280"/>
      <c r="V76" s="280"/>
      <c r="W76" s="280"/>
      <c r="X76" s="280"/>
      <c r="Y76" s="280"/>
      <c r="Z76" s="280"/>
      <c r="AA76" s="280"/>
      <c r="AB76" s="281"/>
      <c r="AC76" s="245"/>
      <c r="AD76" s="245"/>
    </row>
    <row r="77" spans="1:30" ht="15.75" x14ac:dyDescent="0.25">
      <c r="A77" s="278"/>
      <c r="B77" s="279"/>
      <c r="C77" s="280"/>
      <c r="D77" s="280"/>
      <c r="E77" s="280"/>
      <c r="F77" s="279"/>
      <c r="G77" s="280"/>
      <c r="H77" s="279"/>
      <c r="I77" s="280"/>
      <c r="J77" s="280"/>
      <c r="K77" s="280"/>
      <c r="L77" s="280"/>
      <c r="M77" s="280"/>
      <c r="N77" s="280"/>
      <c r="O77" s="280"/>
      <c r="P77" s="280"/>
      <c r="Q77" s="280"/>
      <c r="R77" s="280"/>
      <c r="S77" s="280"/>
      <c r="T77" s="280"/>
      <c r="U77" s="280"/>
      <c r="V77" s="280"/>
      <c r="W77" s="280"/>
      <c r="X77" s="280"/>
      <c r="Y77" s="280"/>
      <c r="Z77" s="280"/>
      <c r="AA77" s="280"/>
      <c r="AB77" s="281"/>
      <c r="AC77" s="245"/>
      <c r="AD77" s="245"/>
    </row>
    <row r="78" spans="1:30" ht="15.75" x14ac:dyDescent="0.25">
      <c r="A78" s="278"/>
      <c r="B78" s="279"/>
      <c r="C78" s="280"/>
      <c r="D78" s="280"/>
      <c r="E78" s="280"/>
      <c r="F78" s="279"/>
      <c r="G78" s="280"/>
      <c r="H78" s="279"/>
      <c r="I78" s="280"/>
      <c r="J78" s="280"/>
      <c r="K78" s="280"/>
      <c r="L78" s="280"/>
      <c r="M78" s="280"/>
      <c r="N78" s="280"/>
      <c r="O78" s="280"/>
      <c r="P78" s="280"/>
      <c r="Q78" s="280"/>
      <c r="R78" s="280"/>
      <c r="S78" s="280"/>
      <c r="T78" s="280"/>
      <c r="U78" s="280"/>
      <c r="V78" s="280"/>
      <c r="W78" s="280"/>
      <c r="X78" s="280"/>
      <c r="Y78" s="280"/>
      <c r="Z78" s="280"/>
      <c r="AA78" s="280"/>
      <c r="AB78" s="281"/>
      <c r="AC78" s="245"/>
      <c r="AD78" s="245"/>
    </row>
    <row r="79" spans="1:30" ht="15.75" x14ac:dyDescent="0.25">
      <c r="A79" s="278"/>
      <c r="B79" s="279"/>
      <c r="C79" s="280"/>
      <c r="D79" s="280"/>
      <c r="E79" s="280"/>
      <c r="F79" s="279"/>
      <c r="G79" s="280"/>
      <c r="H79" s="279"/>
      <c r="I79" s="280"/>
      <c r="J79" s="280"/>
      <c r="K79" s="280"/>
      <c r="L79" s="280"/>
      <c r="M79" s="280"/>
      <c r="N79" s="280"/>
      <c r="O79" s="280"/>
      <c r="P79" s="280"/>
      <c r="Q79" s="280"/>
      <c r="R79" s="280"/>
      <c r="S79" s="280"/>
      <c r="T79" s="280"/>
      <c r="U79" s="280"/>
      <c r="V79" s="280"/>
      <c r="W79" s="280"/>
      <c r="X79" s="280"/>
      <c r="Y79" s="280"/>
      <c r="Z79" s="280"/>
      <c r="AA79" s="280"/>
      <c r="AB79" s="281"/>
      <c r="AC79" s="245"/>
      <c r="AD79" s="245"/>
    </row>
    <row r="80" spans="1:30" ht="15.75" x14ac:dyDescent="0.25">
      <c r="A80" s="278"/>
      <c r="B80" s="279"/>
      <c r="C80" s="280"/>
      <c r="D80" s="280"/>
      <c r="E80" s="280"/>
      <c r="F80" s="279"/>
      <c r="G80" s="280"/>
      <c r="H80" s="279"/>
      <c r="I80" s="280"/>
      <c r="J80" s="280"/>
      <c r="K80" s="280"/>
      <c r="L80" s="280"/>
      <c r="M80" s="280"/>
      <c r="N80" s="280"/>
      <c r="O80" s="280"/>
      <c r="P80" s="280"/>
      <c r="Q80" s="280"/>
      <c r="R80" s="280"/>
      <c r="S80" s="280"/>
      <c r="T80" s="280"/>
      <c r="U80" s="280"/>
      <c r="V80" s="280"/>
      <c r="W80" s="280"/>
      <c r="X80" s="280"/>
      <c r="Y80" s="280"/>
      <c r="Z80" s="280"/>
      <c r="AA80" s="280"/>
      <c r="AB80" s="281"/>
      <c r="AC80" s="245"/>
      <c r="AD80" s="245"/>
    </row>
    <row r="81" spans="1:30" ht="15.75" x14ac:dyDescent="0.25">
      <c r="A81" s="278"/>
      <c r="B81" s="279"/>
      <c r="C81" s="280"/>
      <c r="D81" s="280"/>
      <c r="E81" s="280"/>
      <c r="F81" s="279"/>
      <c r="G81" s="280"/>
      <c r="H81" s="279"/>
      <c r="I81" s="280"/>
      <c r="J81" s="280"/>
      <c r="K81" s="280"/>
      <c r="L81" s="280"/>
      <c r="M81" s="280"/>
      <c r="N81" s="280"/>
      <c r="O81" s="280"/>
      <c r="P81" s="280"/>
      <c r="Q81" s="280"/>
      <c r="R81" s="280"/>
      <c r="S81" s="280"/>
      <c r="T81" s="280"/>
      <c r="U81" s="280"/>
      <c r="V81" s="280"/>
      <c r="W81" s="280"/>
      <c r="X81" s="280"/>
      <c r="Y81" s="280"/>
      <c r="Z81" s="280"/>
      <c r="AA81" s="280"/>
      <c r="AB81" s="281"/>
      <c r="AC81" s="245"/>
      <c r="AD81" s="245"/>
    </row>
    <row r="82" spans="1:30" ht="15.75" x14ac:dyDescent="0.25">
      <c r="A82" s="278"/>
      <c r="B82" s="279"/>
      <c r="C82" s="280"/>
      <c r="D82" s="280"/>
      <c r="E82" s="280"/>
      <c r="F82" s="279"/>
      <c r="G82" s="280"/>
      <c r="H82" s="279"/>
      <c r="I82" s="280"/>
      <c r="J82" s="280"/>
      <c r="K82" s="280"/>
      <c r="L82" s="280"/>
      <c r="M82" s="280"/>
      <c r="N82" s="280"/>
      <c r="O82" s="280"/>
      <c r="P82" s="280"/>
      <c r="Q82" s="280"/>
      <c r="R82" s="280"/>
      <c r="S82" s="280"/>
      <c r="T82" s="280"/>
      <c r="U82" s="280"/>
      <c r="V82" s="280"/>
      <c r="W82" s="280"/>
      <c r="X82" s="280"/>
      <c r="Y82" s="280"/>
      <c r="Z82" s="280"/>
      <c r="AA82" s="280"/>
      <c r="AB82" s="281"/>
      <c r="AC82" s="245"/>
      <c r="AD82" s="245"/>
    </row>
    <row r="83" spans="1:30" ht="15.75" x14ac:dyDescent="0.25">
      <c r="A83" s="278"/>
      <c r="B83" s="279"/>
      <c r="C83" s="280"/>
      <c r="D83" s="280"/>
      <c r="E83" s="280"/>
      <c r="F83" s="279"/>
      <c r="G83" s="280"/>
      <c r="H83" s="279"/>
      <c r="I83" s="280"/>
      <c r="J83" s="280"/>
      <c r="K83" s="280"/>
      <c r="L83" s="280"/>
      <c r="M83" s="280"/>
      <c r="N83" s="280"/>
      <c r="O83" s="280"/>
      <c r="P83" s="280"/>
      <c r="Q83" s="280"/>
      <c r="R83" s="280"/>
      <c r="S83" s="280"/>
      <c r="T83" s="280"/>
      <c r="U83" s="280"/>
      <c r="V83" s="280"/>
      <c r="W83" s="280"/>
      <c r="X83" s="280"/>
      <c r="Y83" s="280"/>
      <c r="Z83" s="280"/>
      <c r="AA83" s="280"/>
      <c r="AB83" s="281"/>
      <c r="AC83" s="245"/>
      <c r="AD83" s="245"/>
    </row>
    <row r="84" spans="1:30" ht="15.75" x14ac:dyDescent="0.25">
      <c r="A84" s="278"/>
      <c r="B84" s="279"/>
      <c r="C84" s="280"/>
      <c r="D84" s="280"/>
      <c r="E84" s="280"/>
      <c r="F84" s="279"/>
      <c r="G84" s="280"/>
      <c r="H84" s="279"/>
      <c r="I84" s="280"/>
      <c r="J84" s="280"/>
      <c r="K84" s="280"/>
      <c r="L84" s="280"/>
      <c r="M84" s="280"/>
      <c r="N84" s="280"/>
      <c r="O84" s="280"/>
      <c r="P84" s="280"/>
      <c r="Q84" s="280"/>
      <c r="R84" s="280"/>
      <c r="S84" s="280"/>
      <c r="T84" s="280"/>
      <c r="U84" s="280"/>
      <c r="V84" s="280"/>
      <c r="W84" s="280"/>
      <c r="X84" s="280"/>
      <c r="Y84" s="280"/>
      <c r="Z84" s="280"/>
      <c r="AA84" s="280"/>
      <c r="AB84" s="281"/>
      <c r="AC84" s="245"/>
      <c r="AD84" s="245"/>
    </row>
    <row r="85" spans="1:30" ht="15.75" x14ac:dyDescent="0.25">
      <c r="A85" s="278"/>
      <c r="B85" s="279"/>
      <c r="C85" s="280"/>
      <c r="D85" s="280"/>
      <c r="E85" s="280"/>
      <c r="F85" s="279"/>
      <c r="G85" s="280"/>
      <c r="H85" s="279"/>
      <c r="I85" s="280"/>
      <c r="J85" s="280"/>
      <c r="K85" s="280"/>
      <c r="L85" s="280"/>
      <c r="M85" s="280"/>
      <c r="N85" s="280"/>
      <c r="O85" s="280"/>
      <c r="P85" s="280"/>
      <c r="Q85" s="280"/>
      <c r="R85" s="280"/>
      <c r="S85" s="280"/>
      <c r="T85" s="280"/>
      <c r="U85" s="280"/>
      <c r="V85" s="280"/>
      <c r="W85" s="280"/>
      <c r="X85" s="280"/>
      <c r="Y85" s="280"/>
      <c r="Z85" s="280"/>
      <c r="AA85" s="280"/>
      <c r="AB85" s="281"/>
      <c r="AC85" s="245"/>
      <c r="AD85" s="245"/>
    </row>
    <row r="86" spans="1:30" ht="15.75" x14ac:dyDescent="0.25">
      <c r="A86" s="278"/>
      <c r="B86" s="279"/>
      <c r="C86" s="280"/>
      <c r="D86" s="280"/>
      <c r="E86" s="280"/>
      <c r="F86" s="279"/>
      <c r="G86" s="280"/>
      <c r="H86" s="279"/>
      <c r="I86" s="280"/>
      <c r="J86" s="280"/>
      <c r="K86" s="280"/>
      <c r="L86" s="280"/>
      <c r="M86" s="280"/>
      <c r="N86" s="280"/>
      <c r="O86" s="280"/>
      <c r="P86" s="280"/>
      <c r="Q86" s="280"/>
      <c r="R86" s="280"/>
      <c r="S86" s="280"/>
      <c r="T86" s="280"/>
      <c r="U86" s="280"/>
      <c r="V86" s="280"/>
      <c r="W86" s="280"/>
      <c r="X86" s="280"/>
      <c r="Y86" s="280"/>
      <c r="Z86" s="280"/>
      <c r="AA86" s="280"/>
      <c r="AB86" s="281"/>
      <c r="AC86" s="245"/>
      <c r="AD86" s="245"/>
    </row>
    <row r="87" spans="1:30" ht="15.75" x14ac:dyDescent="0.25">
      <c r="A87" s="278"/>
      <c r="B87" s="279"/>
      <c r="C87" s="280"/>
      <c r="D87" s="280"/>
      <c r="E87" s="280"/>
      <c r="F87" s="279"/>
      <c r="G87" s="280"/>
      <c r="H87" s="279"/>
      <c r="I87" s="280"/>
      <c r="J87" s="280"/>
      <c r="K87" s="280"/>
      <c r="L87" s="280"/>
      <c r="M87" s="280"/>
      <c r="N87" s="280"/>
      <c r="O87" s="280"/>
      <c r="P87" s="280"/>
      <c r="Q87" s="280"/>
      <c r="R87" s="280"/>
      <c r="S87" s="280"/>
      <c r="T87" s="280"/>
      <c r="U87" s="280"/>
      <c r="V87" s="280"/>
      <c r="W87" s="280"/>
      <c r="X87" s="280"/>
      <c r="Y87" s="280"/>
      <c r="Z87" s="280"/>
      <c r="AA87" s="280"/>
      <c r="AB87" s="281"/>
      <c r="AC87" s="245"/>
      <c r="AD87" s="245"/>
    </row>
    <row r="88" spans="1:30" ht="15.75" x14ac:dyDescent="0.25">
      <c r="A88" s="278"/>
      <c r="B88" s="279"/>
      <c r="C88" s="280"/>
      <c r="D88" s="280"/>
      <c r="E88" s="280"/>
      <c r="F88" s="279"/>
      <c r="G88" s="280"/>
      <c r="H88" s="279"/>
      <c r="I88" s="280"/>
      <c r="J88" s="280"/>
      <c r="K88" s="280"/>
      <c r="L88" s="280"/>
      <c r="M88" s="280"/>
      <c r="N88" s="280"/>
      <c r="O88" s="280"/>
      <c r="P88" s="280"/>
      <c r="Q88" s="280"/>
      <c r="R88" s="280"/>
      <c r="S88" s="280"/>
      <c r="T88" s="280"/>
      <c r="U88" s="280"/>
      <c r="V88" s="280"/>
      <c r="W88" s="280"/>
      <c r="X88" s="280"/>
      <c r="Y88" s="280"/>
      <c r="Z88" s="280"/>
      <c r="AA88" s="280"/>
      <c r="AB88" s="281"/>
      <c r="AC88" s="245"/>
      <c r="AD88" s="245"/>
    </row>
    <row r="89" spans="1:30" ht="15.75" x14ac:dyDescent="0.25">
      <c r="A89" s="278"/>
      <c r="B89" s="279"/>
      <c r="C89" s="280"/>
      <c r="D89" s="280"/>
      <c r="E89" s="280"/>
      <c r="F89" s="279"/>
      <c r="G89" s="280"/>
      <c r="H89" s="279"/>
      <c r="I89" s="280"/>
      <c r="J89" s="280"/>
      <c r="K89" s="280"/>
      <c r="L89" s="280"/>
      <c r="M89" s="280"/>
      <c r="N89" s="280"/>
      <c r="O89" s="280"/>
      <c r="P89" s="280"/>
      <c r="Q89" s="280"/>
      <c r="R89" s="280"/>
      <c r="S89" s="280"/>
      <c r="T89" s="280"/>
      <c r="U89" s="280"/>
      <c r="V89" s="280"/>
      <c r="W89" s="280"/>
      <c r="X89" s="280"/>
      <c r="Y89" s="280"/>
      <c r="Z89" s="280"/>
      <c r="AA89" s="280"/>
      <c r="AB89" s="281"/>
      <c r="AC89" s="245"/>
      <c r="AD89" s="245"/>
    </row>
    <row r="90" spans="1:30" ht="15.75" x14ac:dyDescent="0.25">
      <c r="A90" s="278"/>
      <c r="B90" s="279"/>
      <c r="C90" s="280"/>
      <c r="D90" s="280"/>
      <c r="E90" s="280"/>
      <c r="F90" s="279"/>
      <c r="G90" s="280"/>
      <c r="H90" s="279"/>
      <c r="I90" s="280"/>
      <c r="J90" s="280"/>
      <c r="K90" s="280"/>
      <c r="L90" s="280"/>
      <c r="M90" s="280"/>
      <c r="N90" s="280"/>
      <c r="O90" s="280"/>
      <c r="P90" s="280"/>
      <c r="Q90" s="280"/>
      <c r="R90" s="280"/>
      <c r="S90" s="280"/>
      <c r="T90" s="280"/>
      <c r="U90" s="280"/>
      <c r="V90" s="280"/>
      <c r="W90" s="280"/>
      <c r="X90" s="280"/>
      <c r="Y90" s="280"/>
      <c r="Z90" s="280"/>
      <c r="AA90" s="280"/>
      <c r="AB90" s="281"/>
      <c r="AC90" s="245"/>
      <c r="AD90" s="245"/>
    </row>
    <row r="91" spans="1:30" ht="15.75" x14ac:dyDescent="0.25">
      <c r="A91" s="278"/>
      <c r="B91" s="279"/>
      <c r="C91" s="280"/>
      <c r="D91" s="280"/>
      <c r="E91" s="280"/>
      <c r="F91" s="279"/>
      <c r="G91" s="280"/>
      <c r="H91" s="279"/>
      <c r="I91" s="280"/>
      <c r="J91" s="280"/>
      <c r="K91" s="280"/>
      <c r="L91" s="280"/>
      <c r="M91" s="280"/>
      <c r="N91" s="280"/>
      <c r="O91" s="280"/>
      <c r="P91" s="280"/>
      <c r="Q91" s="280"/>
      <c r="R91" s="280"/>
      <c r="S91" s="280"/>
      <c r="T91" s="280"/>
      <c r="U91" s="280"/>
      <c r="V91" s="280"/>
      <c r="W91" s="280"/>
      <c r="X91" s="280"/>
      <c r="Y91" s="280"/>
      <c r="Z91" s="280"/>
      <c r="AA91" s="280"/>
      <c r="AB91" s="281"/>
      <c r="AC91" s="245"/>
      <c r="AD91" s="245"/>
    </row>
    <row r="92" spans="1:30" ht="15.75" x14ac:dyDescent="0.25">
      <c r="A92" s="278"/>
      <c r="B92" s="279"/>
      <c r="C92" s="280"/>
      <c r="D92" s="280"/>
      <c r="E92" s="280"/>
      <c r="F92" s="279"/>
      <c r="G92" s="280"/>
      <c r="H92" s="279"/>
      <c r="I92" s="280"/>
      <c r="J92" s="280"/>
      <c r="K92" s="280"/>
      <c r="L92" s="280"/>
      <c r="M92" s="280"/>
      <c r="N92" s="280"/>
      <c r="O92" s="280"/>
      <c r="P92" s="280"/>
      <c r="Q92" s="280"/>
      <c r="R92" s="280"/>
      <c r="S92" s="280"/>
      <c r="T92" s="280"/>
      <c r="U92" s="280"/>
      <c r="V92" s="280"/>
      <c r="W92" s="280"/>
      <c r="X92" s="280"/>
      <c r="Y92" s="280"/>
      <c r="Z92" s="280"/>
      <c r="AA92" s="280"/>
      <c r="AB92" s="281"/>
      <c r="AC92" s="245"/>
      <c r="AD92" s="245"/>
    </row>
    <row r="93" spans="1:30" ht="15.75" x14ac:dyDescent="0.25">
      <c r="A93" s="278"/>
      <c r="B93" s="279"/>
      <c r="C93" s="280"/>
      <c r="D93" s="280"/>
      <c r="E93" s="280"/>
      <c r="F93" s="279"/>
      <c r="G93" s="280"/>
      <c r="H93" s="279"/>
      <c r="I93" s="280"/>
      <c r="J93" s="280"/>
      <c r="K93" s="280"/>
      <c r="L93" s="280"/>
      <c r="M93" s="280"/>
      <c r="N93" s="280"/>
      <c r="O93" s="280"/>
      <c r="P93" s="280"/>
      <c r="Q93" s="280"/>
      <c r="R93" s="280"/>
      <c r="S93" s="280"/>
      <c r="T93" s="280"/>
      <c r="U93" s="280"/>
      <c r="V93" s="280"/>
      <c r="W93" s="280"/>
      <c r="X93" s="280"/>
      <c r="Y93" s="280"/>
      <c r="Z93" s="280"/>
      <c r="AA93" s="280"/>
      <c r="AB93" s="281"/>
      <c r="AC93" s="245"/>
      <c r="AD93" s="245"/>
    </row>
    <row r="94" spans="1:30" ht="15.75" x14ac:dyDescent="0.25">
      <c r="A94" s="278"/>
      <c r="B94" s="279"/>
      <c r="C94" s="280"/>
      <c r="D94" s="280"/>
      <c r="E94" s="280"/>
      <c r="F94" s="279"/>
      <c r="G94" s="280"/>
      <c r="H94" s="279"/>
      <c r="I94" s="280"/>
      <c r="J94" s="280"/>
      <c r="K94" s="280"/>
      <c r="L94" s="280"/>
      <c r="M94" s="280"/>
      <c r="N94" s="280"/>
      <c r="O94" s="280"/>
      <c r="P94" s="280"/>
      <c r="Q94" s="280"/>
      <c r="R94" s="280"/>
      <c r="S94" s="280"/>
      <c r="T94" s="280"/>
      <c r="U94" s="280"/>
      <c r="V94" s="280"/>
      <c r="W94" s="280"/>
      <c r="X94" s="280"/>
      <c r="Y94" s="280"/>
      <c r="Z94" s="280"/>
      <c r="AA94" s="280"/>
      <c r="AB94" s="281"/>
      <c r="AC94" s="245"/>
      <c r="AD94" s="245"/>
    </row>
    <row r="95" spans="1:30" ht="15.75" x14ac:dyDescent="0.25">
      <c r="X95" s="280"/>
      <c r="Y95" s="280"/>
      <c r="Z95" s="280"/>
      <c r="AA95" s="280"/>
      <c r="AB95" s="281"/>
      <c r="AC95" s="245"/>
      <c r="AD95" s="245"/>
    </row>
  </sheetData>
  <mergeCells count="12">
    <mergeCell ref="X5:AA5"/>
    <mergeCell ref="AB5:AB6"/>
    <mergeCell ref="AA1:AB1"/>
    <mergeCell ref="A2:AB3"/>
    <mergeCell ref="D4:W4"/>
    <mergeCell ref="AA4:AB4"/>
    <mergeCell ref="A5:A6"/>
    <mergeCell ref="B5:E5"/>
    <mergeCell ref="F5:G5"/>
    <mergeCell ref="H5:K5"/>
    <mergeCell ref="L5:Q5"/>
    <mergeCell ref="R5:W5"/>
  </mergeCells>
  <pageMargins left="0.2" right="0.2" top="0.75" bottom="0.75" header="0.3" footer="0.3"/>
  <pageSetup paperSize="9" scale="44" fitToWidth="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opLeftCell="A16" zoomScale="90" zoomScaleNormal="90" zoomScalePageLayoutView="80" workbookViewId="0">
      <selection activeCell="D24" sqref="A1:XFD1048576"/>
    </sheetView>
  </sheetViews>
  <sheetFormatPr defaultColWidth="6.69921875" defaultRowHeight="18.75" x14ac:dyDescent="0.3"/>
  <cols>
    <col min="1" max="1" width="3.59765625" style="844" customWidth="1"/>
    <col min="2" max="2" width="14.69921875" style="844" customWidth="1"/>
    <col min="3" max="3" width="12.69921875" style="845" customWidth="1"/>
    <col min="4" max="4" width="11" style="844" customWidth="1"/>
    <col min="5" max="5" width="11.5" style="846" customWidth="1"/>
    <col min="6" max="6" width="9.69921875" style="844" customWidth="1"/>
    <col min="7" max="7" width="12.5" style="844" customWidth="1"/>
    <col min="8" max="8" width="9.8984375" style="844" customWidth="1"/>
    <col min="9" max="9" width="10.59765625" style="847" customWidth="1"/>
    <col min="10" max="10" width="11.796875" style="847" customWidth="1"/>
    <col min="11" max="11" width="9.796875" style="847" customWidth="1"/>
    <col min="12" max="12" width="12.5" style="847" customWidth="1"/>
    <col min="13" max="15" width="13.19921875" style="848" customWidth="1"/>
    <col min="16" max="258" width="6.69921875" style="844"/>
    <col min="259" max="259" width="4.8984375" style="844" customWidth="1"/>
    <col min="260" max="260" width="11.69921875" style="844" customWidth="1"/>
    <col min="261" max="262" width="12.19921875" style="844" customWidth="1"/>
    <col min="263" max="263" width="11.69921875" style="844" customWidth="1"/>
    <col min="264" max="264" width="10.8984375" style="844" customWidth="1"/>
    <col min="265" max="265" width="10.69921875" style="844" customWidth="1"/>
    <col min="266" max="266" width="11.09765625" style="844" customWidth="1"/>
    <col min="267" max="267" width="11.69921875" style="844" customWidth="1"/>
    <col min="268" max="514" width="6.69921875" style="844"/>
    <col min="515" max="515" width="4.8984375" style="844" customWidth="1"/>
    <col min="516" max="516" width="11.69921875" style="844" customWidth="1"/>
    <col min="517" max="518" width="12.19921875" style="844" customWidth="1"/>
    <col min="519" max="519" width="11.69921875" style="844" customWidth="1"/>
    <col min="520" max="520" width="10.8984375" style="844" customWidth="1"/>
    <col min="521" max="521" width="10.69921875" style="844" customWidth="1"/>
    <col min="522" max="522" width="11.09765625" style="844" customWidth="1"/>
    <col min="523" max="523" width="11.69921875" style="844" customWidth="1"/>
    <col min="524" max="770" width="6.69921875" style="844"/>
    <col min="771" max="771" width="4.8984375" style="844" customWidth="1"/>
    <col min="772" max="772" width="11.69921875" style="844" customWidth="1"/>
    <col min="773" max="774" width="12.19921875" style="844" customWidth="1"/>
    <col min="775" max="775" width="11.69921875" style="844" customWidth="1"/>
    <col min="776" max="776" width="10.8984375" style="844" customWidth="1"/>
    <col min="777" max="777" width="10.69921875" style="844" customWidth="1"/>
    <col min="778" max="778" width="11.09765625" style="844" customWidth="1"/>
    <col min="779" max="779" width="11.69921875" style="844" customWidth="1"/>
    <col min="780" max="1026" width="6.69921875" style="844"/>
    <col min="1027" max="1027" width="4.8984375" style="844" customWidth="1"/>
    <col min="1028" max="1028" width="11.69921875" style="844" customWidth="1"/>
    <col min="1029" max="1030" width="12.19921875" style="844" customWidth="1"/>
    <col min="1031" max="1031" width="11.69921875" style="844" customWidth="1"/>
    <col min="1032" max="1032" width="10.8984375" style="844" customWidth="1"/>
    <col min="1033" max="1033" width="10.69921875" style="844" customWidth="1"/>
    <col min="1034" max="1034" width="11.09765625" style="844" customWidth="1"/>
    <col min="1035" max="1035" width="11.69921875" style="844" customWidth="1"/>
    <col min="1036" max="1282" width="6.69921875" style="844"/>
    <col min="1283" max="1283" width="4.8984375" style="844" customWidth="1"/>
    <col min="1284" max="1284" width="11.69921875" style="844" customWidth="1"/>
    <col min="1285" max="1286" width="12.19921875" style="844" customWidth="1"/>
    <col min="1287" max="1287" width="11.69921875" style="844" customWidth="1"/>
    <col min="1288" max="1288" width="10.8984375" style="844" customWidth="1"/>
    <col min="1289" max="1289" width="10.69921875" style="844" customWidth="1"/>
    <col min="1290" max="1290" width="11.09765625" style="844" customWidth="1"/>
    <col min="1291" max="1291" width="11.69921875" style="844" customWidth="1"/>
    <col min="1292" max="1538" width="6.69921875" style="844"/>
    <col min="1539" max="1539" width="4.8984375" style="844" customWidth="1"/>
    <col min="1540" max="1540" width="11.69921875" style="844" customWidth="1"/>
    <col min="1541" max="1542" width="12.19921875" style="844" customWidth="1"/>
    <col min="1543" max="1543" width="11.69921875" style="844" customWidth="1"/>
    <col min="1544" max="1544" width="10.8984375" style="844" customWidth="1"/>
    <col min="1545" max="1545" width="10.69921875" style="844" customWidth="1"/>
    <col min="1546" max="1546" width="11.09765625" style="844" customWidth="1"/>
    <col min="1547" max="1547" width="11.69921875" style="844" customWidth="1"/>
    <col min="1548" max="1794" width="6.69921875" style="844"/>
    <col min="1795" max="1795" width="4.8984375" style="844" customWidth="1"/>
    <col min="1796" max="1796" width="11.69921875" style="844" customWidth="1"/>
    <col min="1797" max="1798" width="12.19921875" style="844" customWidth="1"/>
    <col min="1799" max="1799" width="11.69921875" style="844" customWidth="1"/>
    <col min="1800" max="1800" width="10.8984375" style="844" customWidth="1"/>
    <col min="1801" max="1801" width="10.69921875" style="844" customWidth="1"/>
    <col min="1802" max="1802" width="11.09765625" style="844" customWidth="1"/>
    <col min="1803" max="1803" width="11.69921875" style="844" customWidth="1"/>
    <col min="1804" max="2050" width="6.69921875" style="844"/>
    <col min="2051" max="2051" width="4.8984375" style="844" customWidth="1"/>
    <col min="2052" max="2052" width="11.69921875" style="844" customWidth="1"/>
    <col min="2053" max="2054" width="12.19921875" style="844" customWidth="1"/>
    <col min="2055" max="2055" width="11.69921875" style="844" customWidth="1"/>
    <col min="2056" max="2056" width="10.8984375" style="844" customWidth="1"/>
    <col min="2057" max="2057" width="10.69921875" style="844" customWidth="1"/>
    <col min="2058" max="2058" width="11.09765625" style="844" customWidth="1"/>
    <col min="2059" max="2059" width="11.69921875" style="844" customWidth="1"/>
    <col min="2060" max="2306" width="6.69921875" style="844"/>
    <col min="2307" max="2307" width="4.8984375" style="844" customWidth="1"/>
    <col min="2308" max="2308" width="11.69921875" style="844" customWidth="1"/>
    <col min="2309" max="2310" width="12.19921875" style="844" customWidth="1"/>
    <col min="2311" max="2311" width="11.69921875" style="844" customWidth="1"/>
    <col min="2312" max="2312" width="10.8984375" style="844" customWidth="1"/>
    <col min="2313" max="2313" width="10.69921875" style="844" customWidth="1"/>
    <col min="2314" max="2314" width="11.09765625" style="844" customWidth="1"/>
    <col min="2315" max="2315" width="11.69921875" style="844" customWidth="1"/>
    <col min="2316" max="2562" width="6.69921875" style="844"/>
    <col min="2563" max="2563" width="4.8984375" style="844" customWidth="1"/>
    <col min="2564" max="2564" width="11.69921875" style="844" customWidth="1"/>
    <col min="2565" max="2566" width="12.19921875" style="844" customWidth="1"/>
    <col min="2567" max="2567" width="11.69921875" style="844" customWidth="1"/>
    <col min="2568" max="2568" width="10.8984375" style="844" customWidth="1"/>
    <col min="2569" max="2569" width="10.69921875" style="844" customWidth="1"/>
    <col min="2570" max="2570" width="11.09765625" style="844" customWidth="1"/>
    <col min="2571" max="2571" width="11.69921875" style="844" customWidth="1"/>
    <col min="2572" max="2818" width="6.69921875" style="844"/>
    <col min="2819" max="2819" width="4.8984375" style="844" customWidth="1"/>
    <col min="2820" max="2820" width="11.69921875" style="844" customWidth="1"/>
    <col min="2821" max="2822" width="12.19921875" style="844" customWidth="1"/>
    <col min="2823" max="2823" width="11.69921875" style="844" customWidth="1"/>
    <col min="2824" max="2824" width="10.8984375" style="844" customWidth="1"/>
    <col min="2825" max="2825" width="10.69921875" style="844" customWidth="1"/>
    <col min="2826" max="2826" width="11.09765625" style="844" customWidth="1"/>
    <col min="2827" max="2827" width="11.69921875" style="844" customWidth="1"/>
    <col min="2828" max="3074" width="6.69921875" style="844"/>
    <col min="3075" max="3075" width="4.8984375" style="844" customWidth="1"/>
    <col min="3076" max="3076" width="11.69921875" style="844" customWidth="1"/>
    <col min="3077" max="3078" width="12.19921875" style="844" customWidth="1"/>
    <col min="3079" max="3079" width="11.69921875" style="844" customWidth="1"/>
    <col min="3080" max="3080" width="10.8984375" style="844" customWidth="1"/>
    <col min="3081" max="3081" width="10.69921875" style="844" customWidth="1"/>
    <col min="3082" max="3082" width="11.09765625" style="844" customWidth="1"/>
    <col min="3083" max="3083" width="11.69921875" style="844" customWidth="1"/>
    <col min="3084" max="3330" width="6.69921875" style="844"/>
    <col min="3331" max="3331" width="4.8984375" style="844" customWidth="1"/>
    <col min="3332" max="3332" width="11.69921875" style="844" customWidth="1"/>
    <col min="3333" max="3334" width="12.19921875" style="844" customWidth="1"/>
    <col min="3335" max="3335" width="11.69921875" style="844" customWidth="1"/>
    <col min="3336" max="3336" width="10.8984375" style="844" customWidth="1"/>
    <col min="3337" max="3337" width="10.69921875" style="844" customWidth="1"/>
    <col min="3338" max="3338" width="11.09765625" style="844" customWidth="1"/>
    <col min="3339" max="3339" width="11.69921875" style="844" customWidth="1"/>
    <col min="3340" max="3586" width="6.69921875" style="844"/>
    <col min="3587" max="3587" width="4.8984375" style="844" customWidth="1"/>
    <col min="3588" max="3588" width="11.69921875" style="844" customWidth="1"/>
    <col min="3589" max="3590" width="12.19921875" style="844" customWidth="1"/>
    <col min="3591" max="3591" width="11.69921875" style="844" customWidth="1"/>
    <col min="3592" max="3592" width="10.8984375" style="844" customWidth="1"/>
    <col min="3593" max="3593" width="10.69921875" style="844" customWidth="1"/>
    <col min="3594" max="3594" width="11.09765625" style="844" customWidth="1"/>
    <col min="3595" max="3595" width="11.69921875" style="844" customWidth="1"/>
    <col min="3596" max="3842" width="6.69921875" style="844"/>
    <col min="3843" max="3843" width="4.8984375" style="844" customWidth="1"/>
    <col min="3844" max="3844" width="11.69921875" style="844" customWidth="1"/>
    <col min="3845" max="3846" width="12.19921875" style="844" customWidth="1"/>
    <col min="3847" max="3847" width="11.69921875" style="844" customWidth="1"/>
    <col min="3848" max="3848" width="10.8984375" style="844" customWidth="1"/>
    <col min="3849" max="3849" width="10.69921875" style="844" customWidth="1"/>
    <col min="3850" max="3850" width="11.09765625" style="844" customWidth="1"/>
    <col min="3851" max="3851" width="11.69921875" style="844" customWidth="1"/>
    <col min="3852" max="4098" width="6.69921875" style="844"/>
    <col min="4099" max="4099" width="4.8984375" style="844" customWidth="1"/>
    <col min="4100" max="4100" width="11.69921875" style="844" customWidth="1"/>
    <col min="4101" max="4102" width="12.19921875" style="844" customWidth="1"/>
    <col min="4103" max="4103" width="11.69921875" style="844" customWidth="1"/>
    <col min="4104" max="4104" width="10.8984375" style="844" customWidth="1"/>
    <col min="4105" max="4105" width="10.69921875" style="844" customWidth="1"/>
    <col min="4106" max="4106" width="11.09765625" style="844" customWidth="1"/>
    <col min="4107" max="4107" width="11.69921875" style="844" customWidth="1"/>
    <col min="4108" max="4354" width="6.69921875" style="844"/>
    <col min="4355" max="4355" width="4.8984375" style="844" customWidth="1"/>
    <col min="4356" max="4356" width="11.69921875" style="844" customWidth="1"/>
    <col min="4357" max="4358" width="12.19921875" style="844" customWidth="1"/>
    <col min="4359" max="4359" width="11.69921875" style="844" customWidth="1"/>
    <col min="4360" max="4360" width="10.8984375" style="844" customWidth="1"/>
    <col min="4361" max="4361" width="10.69921875" style="844" customWidth="1"/>
    <col min="4362" max="4362" width="11.09765625" style="844" customWidth="1"/>
    <col min="4363" max="4363" width="11.69921875" style="844" customWidth="1"/>
    <col min="4364" max="4610" width="6.69921875" style="844"/>
    <col min="4611" max="4611" width="4.8984375" style="844" customWidth="1"/>
    <col min="4612" max="4612" width="11.69921875" style="844" customWidth="1"/>
    <col min="4613" max="4614" width="12.19921875" style="844" customWidth="1"/>
    <col min="4615" max="4615" width="11.69921875" style="844" customWidth="1"/>
    <col min="4616" max="4616" width="10.8984375" style="844" customWidth="1"/>
    <col min="4617" max="4617" width="10.69921875" style="844" customWidth="1"/>
    <col min="4618" max="4618" width="11.09765625" style="844" customWidth="1"/>
    <col min="4619" max="4619" width="11.69921875" style="844" customWidth="1"/>
    <col min="4620" max="4866" width="6.69921875" style="844"/>
    <col min="4867" max="4867" width="4.8984375" style="844" customWidth="1"/>
    <col min="4868" max="4868" width="11.69921875" style="844" customWidth="1"/>
    <col min="4869" max="4870" width="12.19921875" style="844" customWidth="1"/>
    <col min="4871" max="4871" width="11.69921875" style="844" customWidth="1"/>
    <col min="4872" max="4872" width="10.8984375" style="844" customWidth="1"/>
    <col min="4873" max="4873" width="10.69921875" style="844" customWidth="1"/>
    <col min="4874" max="4874" width="11.09765625" style="844" customWidth="1"/>
    <col min="4875" max="4875" width="11.69921875" style="844" customWidth="1"/>
    <col min="4876" max="5122" width="6.69921875" style="844"/>
    <col min="5123" max="5123" width="4.8984375" style="844" customWidth="1"/>
    <col min="5124" max="5124" width="11.69921875" style="844" customWidth="1"/>
    <col min="5125" max="5126" width="12.19921875" style="844" customWidth="1"/>
    <col min="5127" max="5127" width="11.69921875" style="844" customWidth="1"/>
    <col min="5128" max="5128" width="10.8984375" style="844" customWidth="1"/>
    <col min="5129" max="5129" width="10.69921875" style="844" customWidth="1"/>
    <col min="5130" max="5130" width="11.09765625" style="844" customWidth="1"/>
    <col min="5131" max="5131" width="11.69921875" style="844" customWidth="1"/>
    <col min="5132" max="5378" width="6.69921875" style="844"/>
    <col min="5379" max="5379" width="4.8984375" style="844" customWidth="1"/>
    <col min="5380" max="5380" width="11.69921875" style="844" customWidth="1"/>
    <col min="5381" max="5382" width="12.19921875" style="844" customWidth="1"/>
    <col min="5383" max="5383" width="11.69921875" style="844" customWidth="1"/>
    <col min="5384" max="5384" width="10.8984375" style="844" customWidth="1"/>
    <col min="5385" max="5385" width="10.69921875" style="844" customWidth="1"/>
    <col min="5386" max="5386" width="11.09765625" style="844" customWidth="1"/>
    <col min="5387" max="5387" width="11.69921875" style="844" customWidth="1"/>
    <col min="5388" max="5634" width="6.69921875" style="844"/>
    <col min="5635" max="5635" width="4.8984375" style="844" customWidth="1"/>
    <col min="5636" max="5636" width="11.69921875" style="844" customWidth="1"/>
    <col min="5637" max="5638" width="12.19921875" style="844" customWidth="1"/>
    <col min="5639" max="5639" width="11.69921875" style="844" customWidth="1"/>
    <col min="5640" max="5640" width="10.8984375" style="844" customWidth="1"/>
    <col min="5641" max="5641" width="10.69921875" style="844" customWidth="1"/>
    <col min="5642" max="5642" width="11.09765625" style="844" customWidth="1"/>
    <col min="5643" max="5643" width="11.69921875" style="844" customWidth="1"/>
    <col min="5644" max="5890" width="6.69921875" style="844"/>
    <col min="5891" max="5891" width="4.8984375" style="844" customWidth="1"/>
    <col min="5892" max="5892" width="11.69921875" style="844" customWidth="1"/>
    <col min="5893" max="5894" width="12.19921875" style="844" customWidth="1"/>
    <col min="5895" max="5895" width="11.69921875" style="844" customWidth="1"/>
    <col min="5896" max="5896" width="10.8984375" style="844" customWidth="1"/>
    <col min="5897" max="5897" width="10.69921875" style="844" customWidth="1"/>
    <col min="5898" max="5898" width="11.09765625" style="844" customWidth="1"/>
    <col min="5899" max="5899" width="11.69921875" style="844" customWidth="1"/>
    <col min="5900" max="6146" width="6.69921875" style="844"/>
    <col min="6147" max="6147" width="4.8984375" style="844" customWidth="1"/>
    <col min="6148" max="6148" width="11.69921875" style="844" customWidth="1"/>
    <col min="6149" max="6150" width="12.19921875" style="844" customWidth="1"/>
    <col min="6151" max="6151" width="11.69921875" style="844" customWidth="1"/>
    <col min="6152" max="6152" width="10.8984375" style="844" customWidth="1"/>
    <col min="6153" max="6153" width="10.69921875" style="844" customWidth="1"/>
    <col min="6154" max="6154" width="11.09765625" style="844" customWidth="1"/>
    <col min="6155" max="6155" width="11.69921875" style="844" customWidth="1"/>
    <col min="6156" max="6402" width="6.69921875" style="844"/>
    <col min="6403" max="6403" width="4.8984375" style="844" customWidth="1"/>
    <col min="6404" max="6404" width="11.69921875" style="844" customWidth="1"/>
    <col min="6405" max="6406" width="12.19921875" style="844" customWidth="1"/>
    <col min="6407" max="6407" width="11.69921875" style="844" customWidth="1"/>
    <col min="6408" max="6408" width="10.8984375" style="844" customWidth="1"/>
    <col min="6409" max="6409" width="10.69921875" style="844" customWidth="1"/>
    <col min="6410" max="6410" width="11.09765625" style="844" customWidth="1"/>
    <col min="6411" max="6411" width="11.69921875" style="844" customWidth="1"/>
    <col min="6412" max="6658" width="6.69921875" style="844"/>
    <col min="6659" max="6659" width="4.8984375" style="844" customWidth="1"/>
    <col min="6660" max="6660" width="11.69921875" style="844" customWidth="1"/>
    <col min="6661" max="6662" width="12.19921875" style="844" customWidth="1"/>
    <col min="6663" max="6663" width="11.69921875" style="844" customWidth="1"/>
    <col min="6664" max="6664" width="10.8984375" style="844" customWidth="1"/>
    <col min="6665" max="6665" width="10.69921875" style="844" customWidth="1"/>
    <col min="6666" max="6666" width="11.09765625" style="844" customWidth="1"/>
    <col min="6667" max="6667" width="11.69921875" style="844" customWidth="1"/>
    <col min="6668" max="6914" width="6.69921875" style="844"/>
    <col min="6915" max="6915" width="4.8984375" style="844" customWidth="1"/>
    <col min="6916" max="6916" width="11.69921875" style="844" customWidth="1"/>
    <col min="6917" max="6918" width="12.19921875" style="844" customWidth="1"/>
    <col min="6919" max="6919" width="11.69921875" style="844" customWidth="1"/>
    <col min="6920" max="6920" width="10.8984375" style="844" customWidth="1"/>
    <col min="6921" max="6921" width="10.69921875" style="844" customWidth="1"/>
    <col min="6922" max="6922" width="11.09765625" style="844" customWidth="1"/>
    <col min="6923" max="6923" width="11.69921875" style="844" customWidth="1"/>
    <col min="6924" max="7170" width="6.69921875" style="844"/>
    <col min="7171" max="7171" width="4.8984375" style="844" customWidth="1"/>
    <col min="7172" max="7172" width="11.69921875" style="844" customWidth="1"/>
    <col min="7173" max="7174" width="12.19921875" style="844" customWidth="1"/>
    <col min="7175" max="7175" width="11.69921875" style="844" customWidth="1"/>
    <col min="7176" max="7176" width="10.8984375" style="844" customWidth="1"/>
    <col min="7177" max="7177" width="10.69921875" style="844" customWidth="1"/>
    <col min="7178" max="7178" width="11.09765625" style="844" customWidth="1"/>
    <col min="7179" max="7179" width="11.69921875" style="844" customWidth="1"/>
    <col min="7180" max="7426" width="6.69921875" style="844"/>
    <col min="7427" max="7427" width="4.8984375" style="844" customWidth="1"/>
    <col min="7428" max="7428" width="11.69921875" style="844" customWidth="1"/>
    <col min="7429" max="7430" width="12.19921875" style="844" customWidth="1"/>
    <col min="7431" max="7431" width="11.69921875" style="844" customWidth="1"/>
    <col min="7432" max="7432" width="10.8984375" style="844" customWidth="1"/>
    <col min="7433" max="7433" width="10.69921875" style="844" customWidth="1"/>
    <col min="7434" max="7434" width="11.09765625" style="844" customWidth="1"/>
    <col min="7435" max="7435" width="11.69921875" style="844" customWidth="1"/>
    <col min="7436" max="7682" width="6.69921875" style="844"/>
    <col min="7683" max="7683" width="4.8984375" style="844" customWidth="1"/>
    <col min="7684" max="7684" width="11.69921875" style="844" customWidth="1"/>
    <col min="7685" max="7686" width="12.19921875" style="844" customWidth="1"/>
    <col min="7687" max="7687" width="11.69921875" style="844" customWidth="1"/>
    <col min="7688" max="7688" width="10.8984375" style="844" customWidth="1"/>
    <col min="7689" max="7689" width="10.69921875" style="844" customWidth="1"/>
    <col min="7690" max="7690" width="11.09765625" style="844" customWidth="1"/>
    <col min="7691" max="7691" width="11.69921875" style="844" customWidth="1"/>
    <col min="7692" max="7938" width="6.69921875" style="844"/>
    <col min="7939" max="7939" width="4.8984375" style="844" customWidth="1"/>
    <col min="7940" max="7940" width="11.69921875" style="844" customWidth="1"/>
    <col min="7941" max="7942" width="12.19921875" style="844" customWidth="1"/>
    <col min="7943" max="7943" width="11.69921875" style="844" customWidth="1"/>
    <col min="7944" max="7944" width="10.8984375" style="844" customWidth="1"/>
    <col min="7945" max="7945" width="10.69921875" style="844" customWidth="1"/>
    <col min="7946" max="7946" width="11.09765625" style="844" customWidth="1"/>
    <col min="7947" max="7947" width="11.69921875" style="844" customWidth="1"/>
    <col min="7948" max="8194" width="6.69921875" style="844"/>
    <col min="8195" max="8195" width="4.8984375" style="844" customWidth="1"/>
    <col min="8196" max="8196" width="11.69921875" style="844" customWidth="1"/>
    <col min="8197" max="8198" width="12.19921875" style="844" customWidth="1"/>
    <col min="8199" max="8199" width="11.69921875" style="844" customWidth="1"/>
    <col min="8200" max="8200" width="10.8984375" style="844" customWidth="1"/>
    <col min="8201" max="8201" width="10.69921875" style="844" customWidth="1"/>
    <col min="8202" max="8202" width="11.09765625" style="844" customWidth="1"/>
    <col min="8203" max="8203" width="11.69921875" style="844" customWidth="1"/>
    <col min="8204" max="8450" width="6.69921875" style="844"/>
    <col min="8451" max="8451" width="4.8984375" style="844" customWidth="1"/>
    <col min="8452" max="8452" width="11.69921875" style="844" customWidth="1"/>
    <col min="8453" max="8454" width="12.19921875" style="844" customWidth="1"/>
    <col min="8455" max="8455" width="11.69921875" style="844" customWidth="1"/>
    <col min="8456" max="8456" width="10.8984375" style="844" customWidth="1"/>
    <col min="8457" max="8457" width="10.69921875" style="844" customWidth="1"/>
    <col min="8458" max="8458" width="11.09765625" style="844" customWidth="1"/>
    <col min="8459" max="8459" width="11.69921875" style="844" customWidth="1"/>
    <col min="8460" max="8706" width="6.69921875" style="844"/>
    <col min="8707" max="8707" width="4.8984375" style="844" customWidth="1"/>
    <col min="8708" max="8708" width="11.69921875" style="844" customWidth="1"/>
    <col min="8709" max="8710" width="12.19921875" style="844" customWidth="1"/>
    <col min="8711" max="8711" width="11.69921875" style="844" customWidth="1"/>
    <col min="8712" max="8712" width="10.8984375" style="844" customWidth="1"/>
    <col min="8713" max="8713" width="10.69921875" style="844" customWidth="1"/>
    <col min="8714" max="8714" width="11.09765625" style="844" customWidth="1"/>
    <col min="8715" max="8715" width="11.69921875" style="844" customWidth="1"/>
    <col min="8716" max="8962" width="6.69921875" style="844"/>
    <col min="8963" max="8963" width="4.8984375" style="844" customWidth="1"/>
    <col min="8964" max="8964" width="11.69921875" style="844" customWidth="1"/>
    <col min="8965" max="8966" width="12.19921875" style="844" customWidth="1"/>
    <col min="8967" max="8967" width="11.69921875" style="844" customWidth="1"/>
    <col min="8968" max="8968" width="10.8984375" style="844" customWidth="1"/>
    <col min="8969" max="8969" width="10.69921875" style="844" customWidth="1"/>
    <col min="8970" max="8970" width="11.09765625" style="844" customWidth="1"/>
    <col min="8971" max="8971" width="11.69921875" style="844" customWidth="1"/>
    <col min="8972" max="9218" width="6.69921875" style="844"/>
    <col min="9219" max="9219" width="4.8984375" style="844" customWidth="1"/>
    <col min="9220" max="9220" width="11.69921875" style="844" customWidth="1"/>
    <col min="9221" max="9222" width="12.19921875" style="844" customWidth="1"/>
    <col min="9223" max="9223" width="11.69921875" style="844" customWidth="1"/>
    <col min="9224" max="9224" width="10.8984375" style="844" customWidth="1"/>
    <col min="9225" max="9225" width="10.69921875" style="844" customWidth="1"/>
    <col min="9226" max="9226" width="11.09765625" style="844" customWidth="1"/>
    <col min="9227" max="9227" width="11.69921875" style="844" customWidth="1"/>
    <col min="9228" max="9474" width="6.69921875" style="844"/>
    <col min="9475" max="9475" width="4.8984375" style="844" customWidth="1"/>
    <col min="9476" max="9476" width="11.69921875" style="844" customWidth="1"/>
    <col min="9477" max="9478" width="12.19921875" style="844" customWidth="1"/>
    <col min="9479" max="9479" width="11.69921875" style="844" customWidth="1"/>
    <col min="9480" max="9480" width="10.8984375" style="844" customWidth="1"/>
    <col min="9481" max="9481" width="10.69921875" style="844" customWidth="1"/>
    <col min="9482" max="9482" width="11.09765625" style="844" customWidth="1"/>
    <col min="9483" max="9483" width="11.69921875" style="844" customWidth="1"/>
    <col min="9484" max="9730" width="6.69921875" style="844"/>
    <col min="9731" max="9731" width="4.8984375" style="844" customWidth="1"/>
    <col min="9732" max="9732" width="11.69921875" style="844" customWidth="1"/>
    <col min="9733" max="9734" width="12.19921875" style="844" customWidth="1"/>
    <col min="9735" max="9735" width="11.69921875" style="844" customWidth="1"/>
    <col min="9736" max="9736" width="10.8984375" style="844" customWidth="1"/>
    <col min="9737" max="9737" width="10.69921875" style="844" customWidth="1"/>
    <col min="9738" max="9738" width="11.09765625" style="844" customWidth="1"/>
    <col min="9739" max="9739" width="11.69921875" style="844" customWidth="1"/>
    <col min="9740" max="9986" width="6.69921875" style="844"/>
    <col min="9987" max="9987" width="4.8984375" style="844" customWidth="1"/>
    <col min="9988" max="9988" width="11.69921875" style="844" customWidth="1"/>
    <col min="9989" max="9990" width="12.19921875" style="844" customWidth="1"/>
    <col min="9991" max="9991" width="11.69921875" style="844" customWidth="1"/>
    <col min="9992" max="9992" width="10.8984375" style="844" customWidth="1"/>
    <col min="9993" max="9993" width="10.69921875" style="844" customWidth="1"/>
    <col min="9994" max="9994" width="11.09765625" style="844" customWidth="1"/>
    <col min="9995" max="9995" width="11.69921875" style="844" customWidth="1"/>
    <col min="9996" max="10242" width="6.69921875" style="844"/>
    <col min="10243" max="10243" width="4.8984375" style="844" customWidth="1"/>
    <col min="10244" max="10244" width="11.69921875" style="844" customWidth="1"/>
    <col min="10245" max="10246" width="12.19921875" style="844" customWidth="1"/>
    <col min="10247" max="10247" width="11.69921875" style="844" customWidth="1"/>
    <col min="10248" max="10248" width="10.8984375" style="844" customWidth="1"/>
    <col min="10249" max="10249" width="10.69921875" style="844" customWidth="1"/>
    <col min="10250" max="10250" width="11.09765625" style="844" customWidth="1"/>
    <col min="10251" max="10251" width="11.69921875" style="844" customWidth="1"/>
    <col min="10252" max="10498" width="6.69921875" style="844"/>
    <col min="10499" max="10499" width="4.8984375" style="844" customWidth="1"/>
    <col min="10500" max="10500" width="11.69921875" style="844" customWidth="1"/>
    <col min="10501" max="10502" width="12.19921875" style="844" customWidth="1"/>
    <col min="10503" max="10503" width="11.69921875" style="844" customWidth="1"/>
    <col min="10504" max="10504" width="10.8984375" style="844" customWidth="1"/>
    <col min="10505" max="10505" width="10.69921875" style="844" customWidth="1"/>
    <col min="10506" max="10506" width="11.09765625" style="844" customWidth="1"/>
    <col min="10507" max="10507" width="11.69921875" style="844" customWidth="1"/>
    <col min="10508" max="10754" width="6.69921875" style="844"/>
    <col min="10755" max="10755" width="4.8984375" style="844" customWidth="1"/>
    <col min="10756" max="10756" width="11.69921875" style="844" customWidth="1"/>
    <col min="10757" max="10758" width="12.19921875" style="844" customWidth="1"/>
    <col min="10759" max="10759" width="11.69921875" style="844" customWidth="1"/>
    <col min="10760" max="10760" width="10.8984375" style="844" customWidth="1"/>
    <col min="10761" max="10761" width="10.69921875" style="844" customWidth="1"/>
    <col min="10762" max="10762" width="11.09765625" style="844" customWidth="1"/>
    <col min="10763" max="10763" width="11.69921875" style="844" customWidth="1"/>
    <col min="10764" max="11010" width="6.69921875" style="844"/>
    <col min="11011" max="11011" width="4.8984375" style="844" customWidth="1"/>
    <col min="11012" max="11012" width="11.69921875" style="844" customWidth="1"/>
    <col min="11013" max="11014" width="12.19921875" style="844" customWidth="1"/>
    <col min="11015" max="11015" width="11.69921875" style="844" customWidth="1"/>
    <col min="11016" max="11016" width="10.8984375" style="844" customWidth="1"/>
    <col min="11017" max="11017" width="10.69921875" style="844" customWidth="1"/>
    <col min="11018" max="11018" width="11.09765625" style="844" customWidth="1"/>
    <col min="11019" max="11019" width="11.69921875" style="844" customWidth="1"/>
    <col min="11020" max="11266" width="6.69921875" style="844"/>
    <col min="11267" max="11267" width="4.8984375" style="844" customWidth="1"/>
    <col min="11268" max="11268" width="11.69921875" style="844" customWidth="1"/>
    <col min="11269" max="11270" width="12.19921875" style="844" customWidth="1"/>
    <col min="11271" max="11271" width="11.69921875" style="844" customWidth="1"/>
    <col min="11272" max="11272" width="10.8984375" style="844" customWidth="1"/>
    <col min="11273" max="11273" width="10.69921875" style="844" customWidth="1"/>
    <col min="11274" max="11274" width="11.09765625" style="844" customWidth="1"/>
    <col min="11275" max="11275" width="11.69921875" style="844" customWidth="1"/>
    <col min="11276" max="11522" width="6.69921875" style="844"/>
    <col min="11523" max="11523" width="4.8984375" style="844" customWidth="1"/>
    <col min="11524" max="11524" width="11.69921875" style="844" customWidth="1"/>
    <col min="11525" max="11526" width="12.19921875" style="844" customWidth="1"/>
    <col min="11527" max="11527" width="11.69921875" style="844" customWidth="1"/>
    <col min="11528" max="11528" width="10.8984375" style="844" customWidth="1"/>
    <col min="11529" max="11529" width="10.69921875" style="844" customWidth="1"/>
    <col min="11530" max="11530" width="11.09765625" style="844" customWidth="1"/>
    <col min="11531" max="11531" width="11.69921875" style="844" customWidth="1"/>
    <col min="11532" max="11778" width="6.69921875" style="844"/>
    <col min="11779" max="11779" width="4.8984375" style="844" customWidth="1"/>
    <col min="11780" max="11780" width="11.69921875" style="844" customWidth="1"/>
    <col min="11781" max="11782" width="12.19921875" style="844" customWidth="1"/>
    <col min="11783" max="11783" width="11.69921875" style="844" customWidth="1"/>
    <col min="11784" max="11784" width="10.8984375" style="844" customWidth="1"/>
    <col min="11785" max="11785" width="10.69921875" style="844" customWidth="1"/>
    <col min="11786" max="11786" width="11.09765625" style="844" customWidth="1"/>
    <col min="11787" max="11787" width="11.69921875" style="844" customWidth="1"/>
    <col min="11788" max="12034" width="6.69921875" style="844"/>
    <col min="12035" max="12035" width="4.8984375" style="844" customWidth="1"/>
    <col min="12036" max="12036" width="11.69921875" style="844" customWidth="1"/>
    <col min="12037" max="12038" width="12.19921875" style="844" customWidth="1"/>
    <col min="12039" max="12039" width="11.69921875" style="844" customWidth="1"/>
    <col min="12040" max="12040" width="10.8984375" style="844" customWidth="1"/>
    <col min="12041" max="12041" width="10.69921875" style="844" customWidth="1"/>
    <col min="12042" max="12042" width="11.09765625" style="844" customWidth="1"/>
    <col min="12043" max="12043" width="11.69921875" style="844" customWidth="1"/>
    <col min="12044" max="12290" width="6.69921875" style="844"/>
    <col min="12291" max="12291" width="4.8984375" style="844" customWidth="1"/>
    <col min="12292" max="12292" width="11.69921875" style="844" customWidth="1"/>
    <col min="12293" max="12294" width="12.19921875" style="844" customWidth="1"/>
    <col min="12295" max="12295" width="11.69921875" style="844" customWidth="1"/>
    <col min="12296" max="12296" width="10.8984375" style="844" customWidth="1"/>
    <col min="12297" max="12297" width="10.69921875" style="844" customWidth="1"/>
    <col min="12298" max="12298" width="11.09765625" style="844" customWidth="1"/>
    <col min="12299" max="12299" width="11.69921875" style="844" customWidth="1"/>
    <col min="12300" max="12546" width="6.69921875" style="844"/>
    <col min="12547" max="12547" width="4.8984375" style="844" customWidth="1"/>
    <col min="12548" max="12548" width="11.69921875" style="844" customWidth="1"/>
    <col min="12549" max="12550" width="12.19921875" style="844" customWidth="1"/>
    <col min="12551" max="12551" width="11.69921875" style="844" customWidth="1"/>
    <col min="12552" max="12552" width="10.8984375" style="844" customWidth="1"/>
    <col min="12553" max="12553" width="10.69921875" style="844" customWidth="1"/>
    <col min="12554" max="12554" width="11.09765625" style="844" customWidth="1"/>
    <col min="12555" max="12555" width="11.69921875" style="844" customWidth="1"/>
    <col min="12556" max="12802" width="6.69921875" style="844"/>
    <col min="12803" max="12803" width="4.8984375" style="844" customWidth="1"/>
    <col min="12804" max="12804" width="11.69921875" style="844" customWidth="1"/>
    <col min="12805" max="12806" width="12.19921875" style="844" customWidth="1"/>
    <col min="12807" max="12807" width="11.69921875" style="844" customWidth="1"/>
    <col min="12808" max="12808" width="10.8984375" style="844" customWidth="1"/>
    <col min="12809" max="12809" width="10.69921875" style="844" customWidth="1"/>
    <col min="12810" max="12810" width="11.09765625" style="844" customWidth="1"/>
    <col min="12811" max="12811" width="11.69921875" style="844" customWidth="1"/>
    <col min="12812" max="13058" width="6.69921875" style="844"/>
    <col min="13059" max="13059" width="4.8984375" style="844" customWidth="1"/>
    <col min="13060" max="13060" width="11.69921875" style="844" customWidth="1"/>
    <col min="13061" max="13062" width="12.19921875" style="844" customWidth="1"/>
    <col min="13063" max="13063" width="11.69921875" style="844" customWidth="1"/>
    <col min="13064" max="13064" width="10.8984375" style="844" customWidth="1"/>
    <col min="13065" max="13065" width="10.69921875" style="844" customWidth="1"/>
    <col min="13066" max="13066" width="11.09765625" style="844" customWidth="1"/>
    <col min="13067" max="13067" width="11.69921875" style="844" customWidth="1"/>
    <col min="13068" max="13314" width="6.69921875" style="844"/>
    <col min="13315" max="13315" width="4.8984375" style="844" customWidth="1"/>
    <col min="13316" max="13316" width="11.69921875" style="844" customWidth="1"/>
    <col min="13317" max="13318" width="12.19921875" style="844" customWidth="1"/>
    <col min="13319" max="13319" width="11.69921875" style="844" customWidth="1"/>
    <col min="13320" max="13320" width="10.8984375" style="844" customWidth="1"/>
    <col min="13321" max="13321" width="10.69921875" style="844" customWidth="1"/>
    <col min="13322" max="13322" width="11.09765625" style="844" customWidth="1"/>
    <col min="13323" max="13323" width="11.69921875" style="844" customWidth="1"/>
    <col min="13324" max="13570" width="6.69921875" style="844"/>
    <col min="13571" max="13571" width="4.8984375" style="844" customWidth="1"/>
    <col min="13572" max="13572" width="11.69921875" style="844" customWidth="1"/>
    <col min="13573" max="13574" width="12.19921875" style="844" customWidth="1"/>
    <col min="13575" max="13575" width="11.69921875" style="844" customWidth="1"/>
    <col min="13576" max="13576" width="10.8984375" style="844" customWidth="1"/>
    <col min="13577" max="13577" width="10.69921875" style="844" customWidth="1"/>
    <col min="13578" max="13578" width="11.09765625" style="844" customWidth="1"/>
    <col min="13579" max="13579" width="11.69921875" style="844" customWidth="1"/>
    <col min="13580" max="13826" width="6.69921875" style="844"/>
    <col min="13827" max="13827" width="4.8984375" style="844" customWidth="1"/>
    <col min="13828" max="13828" width="11.69921875" style="844" customWidth="1"/>
    <col min="13829" max="13830" width="12.19921875" style="844" customWidth="1"/>
    <col min="13831" max="13831" width="11.69921875" style="844" customWidth="1"/>
    <col min="13832" max="13832" width="10.8984375" style="844" customWidth="1"/>
    <col min="13833" max="13833" width="10.69921875" style="844" customWidth="1"/>
    <col min="13834" max="13834" width="11.09765625" style="844" customWidth="1"/>
    <col min="13835" max="13835" width="11.69921875" style="844" customWidth="1"/>
    <col min="13836" max="14082" width="6.69921875" style="844"/>
    <col min="14083" max="14083" width="4.8984375" style="844" customWidth="1"/>
    <col min="14084" max="14084" width="11.69921875" style="844" customWidth="1"/>
    <col min="14085" max="14086" width="12.19921875" style="844" customWidth="1"/>
    <col min="14087" max="14087" width="11.69921875" style="844" customWidth="1"/>
    <col min="14088" max="14088" width="10.8984375" style="844" customWidth="1"/>
    <col min="14089" max="14089" width="10.69921875" style="844" customWidth="1"/>
    <col min="14090" max="14090" width="11.09765625" style="844" customWidth="1"/>
    <col min="14091" max="14091" width="11.69921875" style="844" customWidth="1"/>
    <col min="14092" max="14338" width="6.69921875" style="844"/>
    <col min="14339" max="14339" width="4.8984375" style="844" customWidth="1"/>
    <col min="14340" max="14340" width="11.69921875" style="844" customWidth="1"/>
    <col min="14341" max="14342" width="12.19921875" style="844" customWidth="1"/>
    <col min="14343" max="14343" width="11.69921875" style="844" customWidth="1"/>
    <col min="14344" max="14344" width="10.8984375" style="844" customWidth="1"/>
    <col min="14345" max="14345" width="10.69921875" style="844" customWidth="1"/>
    <col min="14346" max="14346" width="11.09765625" style="844" customWidth="1"/>
    <col min="14347" max="14347" width="11.69921875" style="844" customWidth="1"/>
    <col min="14348" max="14594" width="6.69921875" style="844"/>
    <col min="14595" max="14595" width="4.8984375" style="844" customWidth="1"/>
    <col min="14596" max="14596" width="11.69921875" style="844" customWidth="1"/>
    <col min="14597" max="14598" width="12.19921875" style="844" customWidth="1"/>
    <col min="14599" max="14599" width="11.69921875" style="844" customWidth="1"/>
    <col min="14600" max="14600" width="10.8984375" style="844" customWidth="1"/>
    <col min="14601" max="14601" width="10.69921875" style="844" customWidth="1"/>
    <col min="14602" max="14602" width="11.09765625" style="844" customWidth="1"/>
    <col min="14603" max="14603" width="11.69921875" style="844" customWidth="1"/>
    <col min="14604" max="14850" width="6.69921875" style="844"/>
    <col min="14851" max="14851" width="4.8984375" style="844" customWidth="1"/>
    <col min="14852" max="14852" width="11.69921875" style="844" customWidth="1"/>
    <col min="14853" max="14854" width="12.19921875" style="844" customWidth="1"/>
    <col min="14855" max="14855" width="11.69921875" style="844" customWidth="1"/>
    <col min="14856" max="14856" width="10.8984375" style="844" customWidth="1"/>
    <col min="14857" max="14857" width="10.69921875" style="844" customWidth="1"/>
    <col min="14858" max="14858" width="11.09765625" style="844" customWidth="1"/>
    <col min="14859" max="14859" width="11.69921875" style="844" customWidth="1"/>
    <col min="14860" max="15106" width="6.69921875" style="844"/>
    <col min="15107" max="15107" width="4.8984375" style="844" customWidth="1"/>
    <col min="15108" max="15108" width="11.69921875" style="844" customWidth="1"/>
    <col min="15109" max="15110" width="12.19921875" style="844" customWidth="1"/>
    <col min="15111" max="15111" width="11.69921875" style="844" customWidth="1"/>
    <col min="15112" max="15112" width="10.8984375" style="844" customWidth="1"/>
    <col min="15113" max="15113" width="10.69921875" style="844" customWidth="1"/>
    <col min="15114" max="15114" width="11.09765625" style="844" customWidth="1"/>
    <col min="15115" max="15115" width="11.69921875" style="844" customWidth="1"/>
    <col min="15116" max="15362" width="6.69921875" style="844"/>
    <col min="15363" max="15363" width="4.8984375" style="844" customWidth="1"/>
    <col min="15364" max="15364" width="11.69921875" style="844" customWidth="1"/>
    <col min="15365" max="15366" width="12.19921875" style="844" customWidth="1"/>
    <col min="15367" max="15367" width="11.69921875" style="844" customWidth="1"/>
    <col min="15368" max="15368" width="10.8984375" style="844" customWidth="1"/>
    <col min="15369" max="15369" width="10.69921875" style="844" customWidth="1"/>
    <col min="15370" max="15370" width="11.09765625" style="844" customWidth="1"/>
    <col min="15371" max="15371" width="11.69921875" style="844" customWidth="1"/>
    <col min="15372" max="15618" width="6.69921875" style="844"/>
    <col min="15619" max="15619" width="4.8984375" style="844" customWidth="1"/>
    <col min="15620" max="15620" width="11.69921875" style="844" customWidth="1"/>
    <col min="15621" max="15622" width="12.19921875" style="844" customWidth="1"/>
    <col min="15623" max="15623" width="11.69921875" style="844" customWidth="1"/>
    <col min="15624" max="15624" width="10.8984375" style="844" customWidth="1"/>
    <col min="15625" max="15625" width="10.69921875" style="844" customWidth="1"/>
    <col min="15626" max="15626" width="11.09765625" style="844" customWidth="1"/>
    <col min="15627" max="15627" width="11.69921875" style="844" customWidth="1"/>
    <col min="15628" max="15874" width="6.69921875" style="844"/>
    <col min="15875" max="15875" width="4.8984375" style="844" customWidth="1"/>
    <col min="15876" max="15876" width="11.69921875" style="844" customWidth="1"/>
    <col min="15877" max="15878" width="12.19921875" style="844" customWidth="1"/>
    <col min="15879" max="15879" width="11.69921875" style="844" customWidth="1"/>
    <col min="15880" max="15880" width="10.8984375" style="844" customWidth="1"/>
    <col min="15881" max="15881" width="10.69921875" style="844" customWidth="1"/>
    <col min="15882" max="15882" width="11.09765625" style="844" customWidth="1"/>
    <col min="15883" max="15883" width="11.69921875" style="844" customWidth="1"/>
    <col min="15884" max="16130" width="6.69921875" style="844"/>
    <col min="16131" max="16131" width="4.8984375" style="844" customWidth="1"/>
    <col min="16132" max="16132" width="11.69921875" style="844" customWidth="1"/>
    <col min="16133" max="16134" width="12.19921875" style="844" customWidth="1"/>
    <col min="16135" max="16135" width="11.69921875" style="844" customWidth="1"/>
    <col min="16136" max="16136" width="10.8984375" style="844" customWidth="1"/>
    <col min="16137" max="16137" width="10.69921875" style="844" customWidth="1"/>
    <col min="16138" max="16138" width="11.09765625" style="844" customWidth="1"/>
    <col min="16139" max="16139" width="11.69921875" style="844" customWidth="1"/>
    <col min="16140" max="16384" width="6.69921875" style="844"/>
  </cols>
  <sheetData>
    <row r="1" spans="1:15" x14ac:dyDescent="0.3">
      <c r="K1" s="844" t="s">
        <v>233</v>
      </c>
    </row>
    <row r="2" spans="1:15" x14ac:dyDescent="0.3">
      <c r="A2" s="849" t="s">
        <v>979</v>
      </c>
      <c r="B2" s="849"/>
      <c r="C2" s="849"/>
      <c r="D2" s="849"/>
      <c r="E2" s="849"/>
      <c r="F2" s="849"/>
      <c r="G2" s="849"/>
      <c r="H2" s="849"/>
      <c r="I2" s="849"/>
      <c r="J2" s="849"/>
      <c r="K2" s="849"/>
      <c r="L2" s="849"/>
    </row>
    <row r="3" spans="1:15" x14ac:dyDescent="0.3">
      <c r="H3" s="4"/>
      <c r="K3" s="4" t="s">
        <v>20</v>
      </c>
    </row>
    <row r="4" spans="1:15" s="857" customFormat="1" x14ac:dyDescent="0.3">
      <c r="A4" s="850" t="s">
        <v>6</v>
      </c>
      <c r="B4" s="850" t="s">
        <v>21</v>
      </c>
      <c r="C4" s="851" t="s">
        <v>234</v>
      </c>
      <c r="D4" s="852" t="s">
        <v>1134</v>
      </c>
      <c r="E4" s="853"/>
      <c r="F4" s="854" t="s">
        <v>1133</v>
      </c>
      <c r="G4" s="854" t="s">
        <v>1136</v>
      </c>
      <c r="H4" s="855" t="s">
        <v>394</v>
      </c>
      <c r="I4" s="855"/>
      <c r="J4" s="855"/>
      <c r="K4" s="855"/>
      <c r="L4" s="854" t="s">
        <v>24</v>
      </c>
      <c r="M4" s="856"/>
      <c r="N4" s="856"/>
      <c r="O4" s="856"/>
    </row>
    <row r="5" spans="1:15" s="857" customFormat="1" ht="42.75" x14ac:dyDescent="0.3">
      <c r="A5" s="858"/>
      <c r="B5" s="858"/>
      <c r="C5" s="859"/>
      <c r="D5" s="860" t="s">
        <v>1135</v>
      </c>
      <c r="E5" s="860" t="s">
        <v>1132</v>
      </c>
      <c r="F5" s="861"/>
      <c r="G5" s="861"/>
      <c r="H5" s="862" t="s">
        <v>10</v>
      </c>
      <c r="I5" s="862" t="s">
        <v>382</v>
      </c>
      <c r="J5" s="862" t="s">
        <v>383</v>
      </c>
      <c r="K5" s="862" t="s">
        <v>384</v>
      </c>
      <c r="L5" s="861"/>
      <c r="M5" s="856"/>
      <c r="N5" s="856"/>
      <c r="O5" s="856"/>
    </row>
    <row r="6" spans="1:15" s="866" customFormat="1" x14ac:dyDescent="0.3">
      <c r="A6" s="863" t="s">
        <v>15</v>
      </c>
      <c r="B6" s="863" t="s">
        <v>16</v>
      </c>
      <c r="C6" s="864">
        <v>1</v>
      </c>
      <c r="D6" s="864">
        <v>2</v>
      </c>
      <c r="E6" s="864">
        <v>3</v>
      </c>
      <c r="F6" s="864">
        <v>4</v>
      </c>
      <c r="G6" s="864" t="s">
        <v>1053</v>
      </c>
      <c r="H6" s="864">
        <v>6</v>
      </c>
      <c r="I6" s="863">
        <v>7</v>
      </c>
      <c r="J6" s="863">
        <v>8</v>
      </c>
      <c r="K6" s="863">
        <v>9</v>
      </c>
      <c r="L6" s="863" t="s">
        <v>14</v>
      </c>
      <c r="M6" s="865"/>
      <c r="N6" s="865"/>
      <c r="O6" s="865"/>
    </row>
    <row r="7" spans="1:15" s="870" customFormat="1" ht="12.75" x14ac:dyDescent="0.3">
      <c r="A7" s="867" t="s">
        <v>5</v>
      </c>
      <c r="B7" s="867" t="s">
        <v>992</v>
      </c>
      <c r="C7" s="868">
        <f t="shared" ref="C7:K7" si="0">SUM(C8:C11)</f>
        <v>17900000000</v>
      </c>
      <c r="D7" s="868">
        <f t="shared" si="0"/>
        <v>10510850000</v>
      </c>
      <c r="E7" s="868">
        <f t="shared" si="0"/>
        <v>3080880000</v>
      </c>
      <c r="F7" s="868">
        <f t="shared" si="0"/>
        <v>4164860000</v>
      </c>
      <c r="G7" s="868">
        <f t="shared" si="0"/>
        <v>17756590000</v>
      </c>
      <c r="H7" s="868">
        <f t="shared" si="0"/>
        <v>6720000000</v>
      </c>
      <c r="I7" s="868">
        <f t="shared" si="0"/>
        <v>11036590000</v>
      </c>
      <c r="J7" s="868">
        <f t="shared" si="0"/>
        <v>0</v>
      </c>
      <c r="K7" s="868">
        <f t="shared" si="0"/>
        <v>0</v>
      </c>
      <c r="L7" s="868"/>
      <c r="M7" s="869"/>
      <c r="N7" s="869"/>
      <c r="O7" s="869"/>
    </row>
    <row r="8" spans="1:15" s="876" customFormat="1" ht="47.25" x14ac:dyDescent="0.3">
      <c r="A8" s="863">
        <v>1</v>
      </c>
      <c r="B8" s="871" t="s">
        <v>1128</v>
      </c>
      <c r="C8" s="872">
        <v>7500000000</v>
      </c>
      <c r="D8" s="872">
        <v>4356500000</v>
      </c>
      <c r="E8" s="872">
        <f>5822260000-D8</f>
        <v>1465760000</v>
      </c>
      <c r="F8" s="872">
        <v>1477740000</v>
      </c>
      <c r="G8" s="872">
        <f>D8+E8+F8</f>
        <v>7300000000</v>
      </c>
      <c r="H8" s="872">
        <f>G8*40%</f>
        <v>2920000000</v>
      </c>
      <c r="I8" s="872">
        <f>G8-H8</f>
        <v>4380000000</v>
      </c>
      <c r="J8" s="873"/>
      <c r="K8" s="873"/>
      <c r="L8" s="874" t="s">
        <v>396</v>
      </c>
      <c r="M8" s="875"/>
      <c r="N8" s="875"/>
      <c r="O8" s="875"/>
    </row>
    <row r="9" spans="1:15" s="876" customFormat="1" ht="47.25" x14ac:dyDescent="0.3">
      <c r="A9" s="863">
        <v>2</v>
      </c>
      <c r="B9" s="871" t="s">
        <v>994</v>
      </c>
      <c r="C9" s="872">
        <v>9500000000</v>
      </c>
      <c r="D9" s="872">
        <v>5207760000</v>
      </c>
      <c r="E9" s="872">
        <f>6817880000-D9</f>
        <v>1610120000</v>
      </c>
      <c r="F9" s="872">
        <f>C9-D9-E9</f>
        <v>2682120000</v>
      </c>
      <c r="G9" s="872">
        <f t="shared" ref="G9:G11" si="1">D9+E9+F9</f>
        <v>9500000000</v>
      </c>
      <c r="H9" s="872">
        <f>G9*40%</f>
        <v>3800000000</v>
      </c>
      <c r="I9" s="872">
        <f>G9-H9</f>
        <v>5700000000</v>
      </c>
      <c r="J9" s="873"/>
      <c r="K9" s="873"/>
      <c r="L9" s="874" t="s">
        <v>396</v>
      </c>
      <c r="M9" s="875"/>
      <c r="N9" s="875"/>
      <c r="O9" s="875"/>
    </row>
    <row r="10" spans="1:15" s="876" customFormat="1" ht="31.5" x14ac:dyDescent="0.3">
      <c r="A10" s="863">
        <v>3</v>
      </c>
      <c r="B10" s="871" t="s">
        <v>995</v>
      </c>
      <c r="C10" s="872">
        <v>700000000</v>
      </c>
      <c r="D10" s="877">
        <v>810590000</v>
      </c>
      <c r="E10" s="872">
        <v>5000000</v>
      </c>
      <c r="F10" s="872">
        <v>3000000</v>
      </c>
      <c r="G10" s="872">
        <f t="shared" si="1"/>
        <v>818590000</v>
      </c>
      <c r="H10" s="872">
        <v>0</v>
      </c>
      <c r="I10" s="872">
        <f>G10-H10</f>
        <v>818590000</v>
      </c>
      <c r="J10" s="873"/>
      <c r="K10" s="873"/>
      <c r="L10" s="874" t="s">
        <v>385</v>
      </c>
      <c r="M10" s="875"/>
      <c r="N10" s="875"/>
      <c r="O10" s="875"/>
    </row>
    <row r="11" spans="1:15" s="876" customFormat="1" ht="45" x14ac:dyDescent="0.3">
      <c r="A11" s="863">
        <v>4</v>
      </c>
      <c r="B11" s="871" t="s">
        <v>996</v>
      </c>
      <c r="C11" s="872">
        <v>200000000</v>
      </c>
      <c r="D11" s="877">
        <v>136000000</v>
      </c>
      <c r="E11" s="872"/>
      <c r="F11" s="872">
        <v>2000000</v>
      </c>
      <c r="G11" s="872">
        <f t="shared" si="1"/>
        <v>138000000</v>
      </c>
      <c r="H11" s="872">
        <v>0</v>
      </c>
      <c r="I11" s="872">
        <f>G11-H11</f>
        <v>138000000</v>
      </c>
      <c r="J11" s="873"/>
      <c r="K11" s="873"/>
      <c r="L11" s="874" t="s">
        <v>385</v>
      </c>
      <c r="M11" s="875"/>
      <c r="N11" s="875"/>
      <c r="O11" s="875"/>
    </row>
    <row r="12" spans="1:15" s="881" customFormat="1" x14ac:dyDescent="0.3">
      <c r="A12" s="878" t="s">
        <v>1</v>
      </c>
      <c r="B12" s="878" t="s">
        <v>235</v>
      </c>
      <c r="C12" s="868">
        <f t="shared" ref="C12:G12" si="2">SUM(C13:C16)</f>
        <v>25000000000</v>
      </c>
      <c r="D12" s="868">
        <f t="shared" si="2"/>
        <v>17708238007</v>
      </c>
      <c r="E12" s="868">
        <f t="shared" si="2"/>
        <v>2469347234</v>
      </c>
      <c r="F12" s="868">
        <f t="shared" si="2"/>
        <v>5065000000</v>
      </c>
      <c r="G12" s="868">
        <f t="shared" si="2"/>
        <v>25242585241</v>
      </c>
      <c r="H12" s="868">
        <f>SUM(H13:H16)</f>
        <v>987264762.05000007</v>
      </c>
      <c r="I12" s="868">
        <f>SUM(I13:I16)</f>
        <v>4862935406.5100002</v>
      </c>
      <c r="J12" s="868">
        <f>SUM(J13:J16)</f>
        <v>16643740072.440001</v>
      </c>
      <c r="K12" s="868">
        <f>SUM(K13:K16)</f>
        <v>2748645000</v>
      </c>
      <c r="L12" s="879"/>
      <c r="M12" s="880"/>
      <c r="N12" s="880"/>
      <c r="O12" s="880"/>
    </row>
    <row r="13" spans="1:15" s="876" customFormat="1" ht="100.5" customHeight="1" x14ac:dyDescent="0.3">
      <c r="A13" s="863">
        <v>1</v>
      </c>
      <c r="B13" s="882" t="s">
        <v>336</v>
      </c>
      <c r="C13" s="872">
        <v>6000000000</v>
      </c>
      <c r="D13" s="872">
        <f>1721597000*2</f>
        <v>3443194000</v>
      </c>
      <c r="E13" s="872">
        <f>327048000*2</f>
        <v>654096000</v>
      </c>
      <c r="F13" s="872">
        <f>700000000*2</f>
        <v>1400000000</v>
      </c>
      <c r="G13" s="872">
        <f>D13+E13+F13</f>
        <v>5497290000</v>
      </c>
      <c r="H13" s="872"/>
      <c r="I13" s="872">
        <f>G13*11%</f>
        <v>604701900</v>
      </c>
      <c r="J13" s="872">
        <f>G13*33%+G13*6%</f>
        <v>2143943100</v>
      </c>
      <c r="K13" s="872">
        <f>G13*50%</f>
        <v>2748645000</v>
      </c>
      <c r="L13" s="874" t="s">
        <v>386</v>
      </c>
      <c r="M13" s="875"/>
      <c r="N13" s="875"/>
      <c r="O13" s="875"/>
    </row>
    <row r="14" spans="1:15" s="876" customFormat="1" ht="93.75" customHeight="1" x14ac:dyDescent="0.3">
      <c r="A14" s="863">
        <v>2</v>
      </c>
      <c r="B14" s="883" t="s">
        <v>1154</v>
      </c>
      <c r="C14" s="884">
        <v>12000000000</v>
      </c>
      <c r="D14" s="872">
        <v>6084921007</v>
      </c>
      <c r="E14" s="872">
        <v>1724655234</v>
      </c>
      <c r="F14" s="872">
        <v>3600000000</v>
      </c>
      <c r="G14" s="872">
        <f t="shared" ref="G14:G16" si="3">D14+E14+F14</f>
        <v>11409576241</v>
      </c>
      <c r="H14" s="872">
        <f>G14*5%</f>
        <v>570478812.05000007</v>
      </c>
      <c r="I14" s="872">
        <f>G14*11%</f>
        <v>1255053386.51</v>
      </c>
      <c r="J14" s="872">
        <f>G14*33%+G14*51%</f>
        <v>9584044042.4400005</v>
      </c>
      <c r="K14" s="873"/>
      <c r="L14" s="874" t="s">
        <v>1139</v>
      </c>
      <c r="M14" s="875"/>
      <c r="N14" s="875"/>
      <c r="O14" s="875"/>
    </row>
    <row r="15" spans="1:15" s="876" customFormat="1" ht="100.5" customHeight="1" x14ac:dyDescent="0.3">
      <c r="A15" s="863">
        <v>3</v>
      </c>
      <c r="B15" s="882" t="s">
        <v>8</v>
      </c>
      <c r="C15" s="872">
        <v>4500000000</v>
      </c>
      <c r="D15" s="872">
        <v>5529250000</v>
      </c>
      <c r="E15" s="872"/>
      <c r="F15" s="133">
        <v>15000000</v>
      </c>
      <c r="G15" s="872">
        <f>D15+E15+F15</f>
        <v>5544250000</v>
      </c>
      <c r="H15" s="872">
        <f>G15*5%</f>
        <v>277212500</v>
      </c>
      <c r="I15" s="872">
        <f>G15*30%</f>
        <v>1663275000</v>
      </c>
      <c r="J15" s="872">
        <f>G15*(31+34)%</f>
        <v>3603762500</v>
      </c>
      <c r="K15" s="873"/>
      <c r="L15" s="874" t="s">
        <v>1138</v>
      </c>
      <c r="M15" s="875"/>
      <c r="N15" s="875"/>
      <c r="O15" s="875"/>
    </row>
    <row r="16" spans="1:15" s="876" customFormat="1" ht="117" customHeight="1" x14ac:dyDescent="0.3">
      <c r="A16" s="863">
        <v>4</v>
      </c>
      <c r="B16" s="882" t="s">
        <v>9</v>
      </c>
      <c r="C16" s="872">
        <v>2500000000</v>
      </c>
      <c r="D16" s="872">
        <v>2650873000</v>
      </c>
      <c r="E16" s="872">
        <v>90596000</v>
      </c>
      <c r="F16" s="133">
        <v>50000000</v>
      </c>
      <c r="G16" s="872">
        <f t="shared" si="3"/>
        <v>2791469000</v>
      </c>
      <c r="H16" s="872">
        <f>G16*5%</f>
        <v>139573450</v>
      </c>
      <c r="I16" s="872">
        <f>G16*48%</f>
        <v>1339905120</v>
      </c>
      <c r="J16" s="872">
        <f>G16*(29+18)%</f>
        <v>1311990430</v>
      </c>
      <c r="K16" s="873"/>
      <c r="L16" s="874" t="s">
        <v>1137</v>
      </c>
      <c r="M16" s="875"/>
      <c r="N16" s="875"/>
      <c r="O16" s="875"/>
    </row>
    <row r="17" spans="1:15" s="881" customFormat="1" x14ac:dyDescent="0.3">
      <c r="A17" s="878" t="s">
        <v>3</v>
      </c>
      <c r="B17" s="878" t="s">
        <v>236</v>
      </c>
      <c r="C17" s="868">
        <f t="shared" ref="C17:G17" si="4">SUM(C18:C19)</f>
        <v>3105000000</v>
      </c>
      <c r="D17" s="868">
        <f t="shared" si="4"/>
        <v>3746134000</v>
      </c>
      <c r="E17" s="868">
        <f t="shared" si="4"/>
        <v>551637000</v>
      </c>
      <c r="F17" s="868">
        <f t="shared" si="4"/>
        <v>400000000</v>
      </c>
      <c r="G17" s="868">
        <f t="shared" si="4"/>
        <v>4697771000</v>
      </c>
      <c r="H17" s="868">
        <f>SUM(H18:H19)</f>
        <v>469777100</v>
      </c>
      <c r="I17" s="868">
        <f>SUM(I18:I19)</f>
        <v>4227993900</v>
      </c>
      <c r="J17" s="868">
        <f>SUM(J18:J19)</f>
        <v>0</v>
      </c>
      <c r="K17" s="868">
        <f>SUM(K18:K19)</f>
        <v>0</v>
      </c>
      <c r="L17" s="885"/>
      <c r="M17" s="880"/>
      <c r="N17" s="880"/>
      <c r="O17" s="880"/>
    </row>
    <row r="18" spans="1:15" s="876" customFormat="1" x14ac:dyDescent="0.3">
      <c r="A18" s="863">
        <v>1</v>
      </c>
      <c r="B18" s="883" t="s">
        <v>7</v>
      </c>
      <c r="C18" s="872">
        <v>1300000000</v>
      </c>
      <c r="D18" s="872">
        <v>1941134000</v>
      </c>
      <c r="E18" s="872">
        <f>2892771000-D18-400000000</f>
        <v>551637000</v>
      </c>
      <c r="F18" s="133">
        <f>800000000-400000000</f>
        <v>400000000</v>
      </c>
      <c r="G18" s="872">
        <f>D18+E18+F18</f>
        <v>2892771000</v>
      </c>
      <c r="H18" s="872">
        <f>G18*10%</f>
        <v>289277100</v>
      </c>
      <c r="I18" s="872">
        <f>G18-H18</f>
        <v>2603493900</v>
      </c>
      <c r="J18" s="873"/>
      <c r="K18" s="873"/>
      <c r="L18" s="882"/>
      <c r="M18" s="875"/>
      <c r="N18" s="875"/>
      <c r="O18" s="875"/>
    </row>
    <row r="19" spans="1:15" s="876" customFormat="1" x14ac:dyDescent="0.3">
      <c r="A19" s="863">
        <v>2</v>
      </c>
      <c r="B19" s="882" t="s">
        <v>8</v>
      </c>
      <c r="C19" s="872">
        <v>1805000000</v>
      </c>
      <c r="D19" s="872">
        <v>1805000000</v>
      </c>
      <c r="E19" s="872"/>
      <c r="F19" s="872">
        <v>0</v>
      </c>
      <c r="G19" s="872">
        <f>D19+E19+F19</f>
        <v>1805000000</v>
      </c>
      <c r="H19" s="872">
        <f>G19*10%</f>
        <v>180500000</v>
      </c>
      <c r="I19" s="872">
        <f>G19-H19</f>
        <v>1624500000</v>
      </c>
      <c r="J19" s="873"/>
      <c r="K19" s="873"/>
      <c r="L19" s="882"/>
      <c r="M19" s="875"/>
      <c r="N19" s="875"/>
      <c r="O19" s="875"/>
    </row>
    <row r="20" spans="1:15" s="881" customFormat="1" ht="30.75" customHeight="1" x14ac:dyDescent="0.3">
      <c r="A20" s="886"/>
      <c r="B20" s="887" t="s">
        <v>1140</v>
      </c>
      <c r="C20" s="888">
        <f t="shared" ref="C20:K20" si="5">C7+C12+C17</f>
        <v>46005000000</v>
      </c>
      <c r="D20" s="888">
        <f t="shared" si="5"/>
        <v>31965222007</v>
      </c>
      <c r="E20" s="888">
        <f t="shared" si="5"/>
        <v>6101864234</v>
      </c>
      <c r="F20" s="888">
        <f t="shared" si="5"/>
        <v>9629860000</v>
      </c>
      <c r="G20" s="888">
        <f t="shared" si="5"/>
        <v>47696946241</v>
      </c>
      <c r="H20" s="888">
        <f t="shared" si="5"/>
        <v>8177041862.0500002</v>
      </c>
      <c r="I20" s="888">
        <f>I7+I12+I17</f>
        <v>20127519306.510002</v>
      </c>
      <c r="J20" s="888">
        <f t="shared" si="5"/>
        <v>16643740072.440001</v>
      </c>
      <c r="K20" s="888">
        <f t="shared" si="5"/>
        <v>2748645000</v>
      </c>
      <c r="L20" s="889"/>
      <c r="M20" s="880"/>
      <c r="N20" s="880"/>
      <c r="O20" s="880"/>
    </row>
  </sheetData>
  <mergeCells count="9">
    <mergeCell ref="A2:L2"/>
    <mergeCell ref="A4:A5"/>
    <mergeCell ref="B4:B5"/>
    <mergeCell ref="C4:C5"/>
    <mergeCell ref="D4:E4"/>
    <mergeCell ref="F4:F5"/>
    <mergeCell ref="G4:G5"/>
    <mergeCell ref="H4:K4"/>
    <mergeCell ref="L4:L5"/>
  </mergeCells>
  <pageMargins left="1.0104166666666701" right="0" top="0.39370078740157499" bottom="0.39370078740157499" header="0.31496062992126" footer="0.31496062992126"/>
  <pageSetup paperSize="9" scale="80"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21"/>
  <sheetViews>
    <sheetView topLeftCell="A4" workbookViewId="0">
      <selection activeCell="G10" sqref="G10"/>
    </sheetView>
  </sheetViews>
  <sheetFormatPr defaultColWidth="6.59765625" defaultRowHeight="15" x14ac:dyDescent="0.25"/>
  <cols>
    <col min="1" max="1" width="4.5" style="304" customWidth="1"/>
    <col min="2" max="2" width="22.3984375" style="304" customWidth="1"/>
    <col min="3" max="3" width="8.8984375" style="305" customWidth="1"/>
    <col min="4" max="4" width="9.69921875" style="305" customWidth="1"/>
    <col min="5" max="5" width="9.5" style="304" customWidth="1"/>
    <col min="6" max="8" width="9.8984375" style="304" customWidth="1"/>
    <col min="9" max="12" width="7.69921875" style="306" customWidth="1"/>
    <col min="13" max="13" width="6.59765625" style="304" customWidth="1"/>
    <col min="14" max="14" width="6.59765625" style="304"/>
    <col min="15" max="15" width="8" style="304" bestFit="1" customWidth="1"/>
    <col min="16" max="16" width="13.09765625" style="304" bestFit="1" customWidth="1"/>
    <col min="17" max="17" width="8" style="304" bestFit="1" customWidth="1"/>
    <col min="18" max="16384" width="6.59765625" style="304"/>
  </cols>
  <sheetData>
    <row r="1" spans="1:16" ht="16.149999999999999" customHeight="1" x14ac:dyDescent="0.25">
      <c r="L1" s="760" t="s">
        <v>631</v>
      </c>
      <c r="M1" s="760"/>
    </row>
    <row r="2" spans="1:16" ht="18.75" x14ac:dyDescent="0.3">
      <c r="A2" s="761" t="s">
        <v>987</v>
      </c>
      <c r="B2" s="761"/>
      <c r="C2" s="761"/>
      <c r="D2" s="761"/>
      <c r="E2" s="761"/>
      <c r="F2" s="761"/>
      <c r="G2" s="761"/>
      <c r="H2" s="761"/>
      <c r="I2" s="761"/>
      <c r="J2" s="761"/>
      <c r="K2" s="761"/>
      <c r="L2" s="761"/>
      <c r="M2" s="761"/>
    </row>
    <row r="3" spans="1:16" ht="19.899999999999999" customHeight="1" x14ac:dyDescent="0.25">
      <c r="K3" s="762" t="s">
        <v>618</v>
      </c>
      <c r="L3" s="762"/>
      <c r="M3" s="762"/>
    </row>
    <row r="4" spans="1:16" ht="43.15" customHeight="1" x14ac:dyDescent="0.25">
      <c r="A4" s="763" t="s">
        <v>344</v>
      </c>
      <c r="B4" s="763" t="s">
        <v>352</v>
      </c>
      <c r="C4" s="764" t="s">
        <v>469</v>
      </c>
      <c r="D4" s="765"/>
      <c r="E4" s="765"/>
      <c r="F4" s="766"/>
      <c r="G4" s="763" t="s">
        <v>619</v>
      </c>
      <c r="H4" s="763" t="s">
        <v>620</v>
      </c>
      <c r="I4" s="763" t="s">
        <v>471</v>
      </c>
      <c r="J4" s="763"/>
      <c r="K4" s="763" t="s">
        <v>621</v>
      </c>
      <c r="L4" s="763"/>
      <c r="M4" s="767" t="s">
        <v>24</v>
      </c>
    </row>
    <row r="5" spans="1:16" ht="23.45" customHeight="1" x14ac:dyDescent="0.25">
      <c r="A5" s="763"/>
      <c r="B5" s="763"/>
      <c r="C5" s="770" t="s">
        <v>345</v>
      </c>
      <c r="D5" s="770" t="s">
        <v>346</v>
      </c>
      <c r="E5" s="770" t="s">
        <v>219</v>
      </c>
      <c r="F5" s="767" t="s">
        <v>622</v>
      </c>
      <c r="G5" s="763"/>
      <c r="H5" s="763"/>
      <c r="I5" s="767" t="s">
        <v>623</v>
      </c>
      <c r="J5" s="767" t="s">
        <v>624</v>
      </c>
      <c r="K5" s="767" t="s">
        <v>623</v>
      </c>
      <c r="L5" s="767" t="s">
        <v>624</v>
      </c>
      <c r="M5" s="768"/>
    </row>
    <row r="6" spans="1:16" ht="27" customHeight="1" x14ac:dyDescent="0.25">
      <c r="A6" s="763"/>
      <c r="B6" s="763"/>
      <c r="C6" s="770"/>
      <c r="D6" s="770"/>
      <c r="E6" s="770"/>
      <c r="F6" s="769"/>
      <c r="G6" s="763"/>
      <c r="H6" s="763"/>
      <c r="I6" s="769"/>
      <c r="J6" s="769"/>
      <c r="K6" s="769"/>
      <c r="L6" s="769"/>
      <c r="M6" s="769"/>
    </row>
    <row r="7" spans="1:16" ht="49.5" customHeight="1" x14ac:dyDescent="0.25">
      <c r="A7" s="307" t="s">
        <v>5</v>
      </c>
      <c r="B7" s="308" t="s">
        <v>625</v>
      </c>
      <c r="C7" s="309">
        <f>SUBTOTAL(9,C8:C14)</f>
        <v>21931325.094999999</v>
      </c>
      <c r="D7" s="309">
        <f>SUBTOTAL(9,D8:D14)</f>
        <v>36518639</v>
      </c>
      <c r="E7" s="309">
        <f>SUBTOTAL(9,E8:E14)</f>
        <v>48460302.447999999</v>
      </c>
      <c r="F7" s="309">
        <v>30982266</v>
      </c>
      <c r="G7" s="309">
        <f>SUBTOTAL(9,G8:G14)</f>
        <v>54600023.100000001</v>
      </c>
      <c r="H7" s="309">
        <f>SUBTOTAL(9,H8:H14)</f>
        <v>63000000</v>
      </c>
      <c r="I7" s="307">
        <v>21</v>
      </c>
      <c r="J7" s="307">
        <v>79</v>
      </c>
      <c r="K7" s="307">
        <v>21</v>
      </c>
      <c r="L7" s="307">
        <v>79</v>
      </c>
      <c r="M7" s="310"/>
    </row>
    <row r="8" spans="1:16" ht="34.5" customHeight="1" x14ac:dyDescent="0.25">
      <c r="A8" s="307">
        <v>1</v>
      </c>
      <c r="B8" s="311" t="s">
        <v>229</v>
      </c>
      <c r="C8" s="309">
        <f t="shared" ref="C8:E8" si="0">SUBTOTAL(9,C9:C10)</f>
        <v>5896689.5329999998</v>
      </c>
      <c r="D8" s="309">
        <f t="shared" si="0"/>
        <v>13638339.283</v>
      </c>
      <c r="E8" s="309">
        <f t="shared" si="0"/>
        <v>23311111.969999999</v>
      </c>
      <c r="F8" s="309">
        <f>SUBTOTAL(9,F9:F10)</f>
        <v>14837235.719000001</v>
      </c>
      <c r="G8" s="309">
        <f>SUBTOTAL(9,G9:G10)</f>
        <v>23200000</v>
      </c>
      <c r="H8" s="309">
        <f>SUBTOTAL(9,H9:H10)</f>
        <v>12351343.700184613</v>
      </c>
      <c r="I8" s="312"/>
      <c r="J8" s="313"/>
      <c r="K8" s="313"/>
      <c r="L8" s="313"/>
      <c r="M8" s="314"/>
    </row>
    <row r="9" spans="1:16" ht="34.5" customHeight="1" x14ac:dyDescent="0.25">
      <c r="A9" s="307" t="s">
        <v>282</v>
      </c>
      <c r="B9" s="311" t="s">
        <v>626</v>
      </c>
      <c r="C9" s="309">
        <v>4577689.5329999998</v>
      </c>
      <c r="D9" s="309">
        <v>6032839.2829999998</v>
      </c>
      <c r="E9" s="309">
        <v>8411111.9700000007</v>
      </c>
      <c r="F9" s="315">
        <v>4500993.0190000003</v>
      </c>
      <c r="G9" s="315">
        <v>9200000</v>
      </c>
      <c r="H9" s="315">
        <f>+'[8]biêu 03.1'!D9+'[8]biêu 03.1'!D10</f>
        <v>10351343.700184613</v>
      </c>
      <c r="I9" s="312"/>
      <c r="J9" s="313"/>
      <c r="K9" s="313"/>
      <c r="L9" s="313"/>
      <c r="M9" s="314"/>
      <c r="P9" s="305"/>
    </row>
    <row r="10" spans="1:16" ht="34.5" customHeight="1" x14ac:dyDescent="0.25">
      <c r="A10" s="307" t="s">
        <v>283</v>
      </c>
      <c r="B10" s="311" t="s">
        <v>627</v>
      </c>
      <c r="C10" s="309">
        <v>1319000</v>
      </c>
      <c r="D10" s="309">
        <v>7605500</v>
      </c>
      <c r="E10" s="309">
        <v>14900000</v>
      </c>
      <c r="F10" s="315">
        <v>10336242.699999999</v>
      </c>
      <c r="G10" s="315">
        <v>14000000</v>
      </c>
      <c r="H10" s="315">
        <f>+'[8]biêu 03.1'!D11</f>
        <v>2000000</v>
      </c>
      <c r="I10" s="313"/>
      <c r="J10" s="313"/>
      <c r="K10" s="313"/>
      <c r="L10" s="313"/>
      <c r="M10" s="314"/>
      <c r="P10" s="316"/>
    </row>
    <row r="11" spans="1:16" ht="64.5" customHeight="1" x14ac:dyDescent="0.25">
      <c r="A11" s="307">
        <v>2</v>
      </c>
      <c r="B11" s="311" t="s">
        <v>628</v>
      </c>
      <c r="C11" s="309">
        <v>9296922.5689999983</v>
      </c>
      <c r="D11" s="309">
        <v>3684737.6140000001</v>
      </c>
      <c r="E11" s="309">
        <v>6098818.1390000004</v>
      </c>
      <c r="F11" s="315">
        <f>10649030.284-F9-F12</f>
        <v>3255025.2649999997</v>
      </c>
      <c r="G11" s="315">
        <f>20949176-G9-G12</f>
        <v>7859176</v>
      </c>
      <c r="H11" s="315">
        <f>+'[8]biêu 03.1'!D12</f>
        <v>24148656.399999999</v>
      </c>
      <c r="I11" s="312"/>
      <c r="J11" s="313"/>
      <c r="K11" s="313"/>
      <c r="L11" s="313"/>
      <c r="M11" s="314"/>
    </row>
    <row r="12" spans="1:16" ht="59.25" customHeight="1" x14ac:dyDescent="0.25">
      <c r="A12" s="307">
        <v>3</v>
      </c>
      <c r="B12" s="311" t="s">
        <v>629</v>
      </c>
      <c r="C12" s="309">
        <v>4479048</v>
      </c>
      <c r="D12" s="309">
        <f>3335388.227</f>
        <v>3335388.227</v>
      </c>
      <c r="E12" s="309">
        <v>3601824.8620000002</v>
      </c>
      <c r="F12" s="315">
        <v>2893012</v>
      </c>
      <c r="G12" s="315">
        <v>3890000</v>
      </c>
      <c r="H12" s="315">
        <f>+'[8]biêu 03.1'!D165</f>
        <v>23089799.899815388</v>
      </c>
      <c r="I12" s="312"/>
      <c r="J12" s="313"/>
      <c r="K12" s="313"/>
      <c r="L12" s="313"/>
      <c r="M12" s="314"/>
      <c r="P12" s="316"/>
    </row>
    <row r="13" spans="1:16" ht="59.25" customHeight="1" x14ac:dyDescent="0.25">
      <c r="A13" s="307">
        <v>3</v>
      </c>
      <c r="B13" s="311" t="s">
        <v>630</v>
      </c>
      <c r="C13" s="309"/>
      <c r="D13" s="309"/>
      <c r="E13" s="309"/>
      <c r="F13" s="315"/>
      <c r="G13" s="315"/>
      <c r="H13" s="315">
        <f>+'[8]biêu 03.1'!D171</f>
        <v>3410200</v>
      </c>
      <c r="I13" s="317"/>
      <c r="J13" s="313"/>
      <c r="K13" s="313"/>
      <c r="L13" s="313"/>
      <c r="M13" s="314"/>
    </row>
    <row r="14" spans="1:16" ht="34.5" customHeight="1" x14ac:dyDescent="0.25">
      <c r="A14" s="307">
        <v>4</v>
      </c>
      <c r="B14" s="311" t="s">
        <v>534</v>
      </c>
      <c r="C14" s="309">
        <v>2258664.9929999998</v>
      </c>
      <c r="D14" s="309">
        <v>15860173.876</v>
      </c>
      <c r="E14" s="309">
        <v>15448547.477000002</v>
      </c>
      <c r="F14" s="315">
        <f>+F7-F8-F11-F12</f>
        <v>9996993.0159999989</v>
      </c>
      <c r="G14" s="315">
        <v>19650847.100000001</v>
      </c>
      <c r="H14" s="315"/>
      <c r="I14" s="313"/>
      <c r="J14" s="313"/>
      <c r="K14" s="313"/>
      <c r="L14" s="313"/>
      <c r="M14" s="314"/>
    </row>
    <row r="15" spans="1:16" x14ac:dyDescent="0.25">
      <c r="H15" s="316"/>
    </row>
    <row r="16" spans="1:16" x14ac:dyDescent="0.25">
      <c r="C16" s="304"/>
      <c r="D16" s="304"/>
    </row>
    <row r="17" spans="3:16" x14ac:dyDescent="0.25">
      <c r="C17" s="304"/>
      <c r="D17" s="304"/>
    </row>
    <row r="18" spans="3:16" x14ac:dyDescent="0.25">
      <c r="D18" s="304"/>
      <c r="P18" s="316"/>
    </row>
    <row r="19" spans="3:16" x14ac:dyDescent="0.25">
      <c r="D19" s="304"/>
      <c r="E19" s="316"/>
    </row>
    <row r="20" spans="3:16" x14ac:dyDescent="0.25">
      <c r="D20" s="304"/>
    </row>
    <row r="21" spans="3:16" x14ac:dyDescent="0.25">
      <c r="D21" s="304"/>
    </row>
  </sheetData>
  <mergeCells count="19">
    <mergeCell ref="J5:J6"/>
    <mergeCell ref="K5:K6"/>
    <mergeCell ref="L5:L6"/>
    <mergeCell ref="L1:M1"/>
    <mergeCell ref="A2:M2"/>
    <mergeCell ref="K3:M3"/>
    <mergeCell ref="A4:A6"/>
    <mergeCell ref="B4:B6"/>
    <mergeCell ref="C4:F4"/>
    <mergeCell ref="G4:G6"/>
    <mergeCell ref="H4:H6"/>
    <mergeCell ref="I4:J4"/>
    <mergeCell ref="K4:L4"/>
    <mergeCell ref="M4:M6"/>
    <mergeCell ref="C5:C6"/>
    <mergeCell ref="D5:D6"/>
    <mergeCell ref="E5:E6"/>
    <mergeCell ref="F5:F6"/>
    <mergeCell ref="I5:I6"/>
  </mergeCells>
  <pageMargins left="0.27" right="0.21" top="0.75" bottom="0.75" header="0.3" footer="0.3"/>
  <pageSetup paperSize="9"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1"/>
  <sheetViews>
    <sheetView topLeftCell="A76" zoomScale="90" zoomScaleNormal="90" workbookViewId="0">
      <selection activeCell="A2" sqref="A2:D2"/>
    </sheetView>
  </sheetViews>
  <sheetFormatPr defaultColWidth="6.5" defaultRowHeight="18.75" x14ac:dyDescent="0.3"/>
  <cols>
    <col min="1" max="1" width="5" style="394" customWidth="1"/>
    <col min="2" max="2" width="11" style="394" customWidth="1"/>
    <col min="3" max="3" width="71.5" style="320" customWidth="1"/>
    <col min="4" max="4" width="15.296875" style="320" customWidth="1"/>
    <col min="5" max="5" width="5.5" style="320" customWidth="1"/>
    <col min="6" max="6" width="4.296875" style="321" customWidth="1"/>
    <col min="7" max="7" width="12.5" style="320" bestFit="1" customWidth="1"/>
    <col min="8" max="18" width="4.296875" style="320" customWidth="1"/>
    <col min="19" max="16384" width="6.5" style="320"/>
  </cols>
  <sheetData>
    <row r="1" spans="1:7" x14ac:dyDescent="0.3">
      <c r="A1" s="318"/>
      <c r="B1" s="318"/>
      <c r="C1" s="319"/>
      <c r="D1" s="287" t="s">
        <v>808</v>
      </c>
    </row>
    <row r="2" spans="1:7" x14ac:dyDescent="0.3">
      <c r="A2" s="771" t="s">
        <v>632</v>
      </c>
      <c r="B2" s="771"/>
      <c r="C2" s="771"/>
      <c r="D2" s="771"/>
    </row>
    <row r="3" spans="1:7" x14ac:dyDescent="0.3">
      <c r="A3" s="772"/>
      <c r="B3" s="772"/>
      <c r="C3" s="772"/>
      <c r="D3" s="772"/>
    </row>
    <row r="4" spans="1:7" x14ac:dyDescent="0.3">
      <c r="A4" s="318"/>
      <c r="B4" s="318"/>
      <c r="C4" s="773" t="s">
        <v>618</v>
      </c>
      <c r="D4" s="773"/>
    </row>
    <row r="5" spans="1:7" s="324" customFormat="1" ht="37.5" x14ac:dyDescent="0.3">
      <c r="A5" s="322" t="s">
        <v>6</v>
      </c>
      <c r="B5" s="323" t="s">
        <v>633</v>
      </c>
      <c r="C5" s="322" t="s">
        <v>479</v>
      </c>
      <c r="D5" s="322" t="s">
        <v>634</v>
      </c>
      <c r="F5" s="325"/>
    </row>
    <row r="6" spans="1:7" s="329" customFormat="1" x14ac:dyDescent="0.3">
      <c r="A6" s="326"/>
      <c r="B6" s="326"/>
      <c r="C6" s="327" t="s">
        <v>635</v>
      </c>
      <c r="D6" s="328">
        <f>D7+D165+D171</f>
        <v>63000000</v>
      </c>
      <c r="F6" s="330"/>
      <c r="G6" s="331">
        <f>+D6/0.21</f>
        <v>300000000</v>
      </c>
    </row>
    <row r="7" spans="1:7" s="329" customFormat="1" x14ac:dyDescent="0.3">
      <c r="A7" s="326" t="s">
        <v>5</v>
      </c>
      <c r="B7" s="326"/>
      <c r="C7" s="327" t="s">
        <v>11</v>
      </c>
      <c r="D7" s="328">
        <f>D8+D12</f>
        <v>36500000.100184612</v>
      </c>
      <c r="F7" s="332"/>
      <c r="G7" s="331"/>
    </row>
    <row r="8" spans="1:7" s="337" customFormat="1" ht="19.5" x14ac:dyDescent="0.35">
      <c r="A8" s="333" t="s">
        <v>282</v>
      </c>
      <c r="B8" s="334"/>
      <c r="C8" s="335" t="s">
        <v>229</v>
      </c>
      <c r="D8" s="336">
        <f>SUM(D9:D11)</f>
        <v>12351343.700184613</v>
      </c>
      <c r="F8" s="332"/>
      <c r="G8" s="331">
        <f>63000000-D6</f>
        <v>0</v>
      </c>
    </row>
    <row r="9" spans="1:7" x14ac:dyDescent="0.3">
      <c r="A9" s="338">
        <v>1</v>
      </c>
      <c r="B9" s="338"/>
      <c r="C9" s="339" t="s">
        <v>636</v>
      </c>
      <c r="D9" s="340">
        <f>+'[8]03.2 Lương chi nguồn TP 2026'!P76/1000</f>
        <v>9253886.5247999988</v>
      </c>
      <c r="F9" s="332"/>
      <c r="G9" s="329"/>
    </row>
    <row r="10" spans="1:7" x14ac:dyDescent="0.3">
      <c r="A10" s="338">
        <v>2</v>
      </c>
      <c r="B10" s="338"/>
      <c r="C10" s="339" t="s">
        <v>637</v>
      </c>
      <c r="D10" s="340">
        <f>+'[8]03.3 Lương bs'!O20/1000</f>
        <v>1097457.1753846153</v>
      </c>
      <c r="F10" s="332"/>
      <c r="G10" s="329"/>
    </row>
    <row r="11" spans="1:7" x14ac:dyDescent="0.3">
      <c r="A11" s="338">
        <v>3</v>
      </c>
      <c r="B11" s="338"/>
      <c r="C11" s="339" t="s">
        <v>638</v>
      </c>
      <c r="D11" s="340">
        <v>2000000</v>
      </c>
      <c r="F11" s="332"/>
      <c r="G11" s="329"/>
    </row>
    <row r="12" spans="1:7" ht="19.5" x14ac:dyDescent="0.35">
      <c r="A12" s="333" t="s">
        <v>283</v>
      </c>
      <c r="B12" s="333"/>
      <c r="C12" s="335" t="s">
        <v>639</v>
      </c>
      <c r="D12" s="336">
        <f>D13+D15+D18+D27+D31+D37+D38+D69+D84+D163+D102+D16+D67</f>
        <v>24148656.399999999</v>
      </c>
      <c r="F12" s="332"/>
      <c r="G12" s="329"/>
    </row>
    <row r="13" spans="1:7" ht="19.5" x14ac:dyDescent="0.35">
      <c r="A13" s="341">
        <v>1</v>
      </c>
      <c r="B13" s="341"/>
      <c r="C13" s="342" t="s">
        <v>640</v>
      </c>
      <c r="D13" s="343">
        <f>5*60000+7*35000</f>
        <v>545000</v>
      </c>
      <c r="F13" s="332"/>
      <c r="G13" s="329"/>
    </row>
    <row r="14" spans="1:7" ht="19.5" x14ac:dyDescent="0.35">
      <c r="A14" s="341"/>
      <c r="B14" s="341"/>
      <c r="C14" s="344" t="s">
        <v>641</v>
      </c>
      <c r="D14" s="343"/>
      <c r="F14" s="332"/>
      <c r="G14" s="329"/>
    </row>
    <row r="15" spans="1:7" ht="19.5" x14ac:dyDescent="0.35">
      <c r="A15" s="341">
        <v>2</v>
      </c>
      <c r="B15" s="341"/>
      <c r="C15" s="342" t="s">
        <v>642</v>
      </c>
      <c r="D15" s="343">
        <f>12*800</f>
        <v>9600</v>
      </c>
      <c r="F15" s="332"/>
      <c r="G15" s="329"/>
    </row>
    <row r="16" spans="1:7" ht="19.5" x14ac:dyDescent="0.35">
      <c r="A16" s="341">
        <v>3</v>
      </c>
      <c r="B16" s="341"/>
      <c r="C16" s="342" t="s">
        <v>643</v>
      </c>
      <c r="D16" s="343">
        <f>5*10000+7*7000</f>
        <v>99000</v>
      </c>
      <c r="F16" s="332"/>
      <c r="G16" s="329"/>
    </row>
    <row r="17" spans="1:7" ht="19.5" x14ac:dyDescent="0.35">
      <c r="A17" s="341"/>
      <c r="B17" s="341"/>
      <c r="C17" s="344" t="s">
        <v>644</v>
      </c>
      <c r="D17" s="343"/>
      <c r="F17" s="332"/>
      <c r="G17" s="329"/>
    </row>
    <row r="18" spans="1:7" ht="39" x14ac:dyDescent="0.3">
      <c r="A18" s="345">
        <v>4</v>
      </c>
      <c r="B18" s="345"/>
      <c r="C18" s="346" t="s">
        <v>645</v>
      </c>
      <c r="D18" s="347">
        <f>SUM(D19:D26)</f>
        <v>4927946.4000000004</v>
      </c>
      <c r="F18" s="332"/>
      <c r="G18" s="329"/>
    </row>
    <row r="19" spans="1:7" ht="37.5" x14ac:dyDescent="0.3">
      <c r="A19" s="338"/>
      <c r="B19" s="338"/>
      <c r="C19" s="348" t="s">
        <v>646</v>
      </c>
      <c r="D19" s="349"/>
      <c r="F19" s="332"/>
      <c r="G19" s="329"/>
    </row>
    <row r="20" spans="1:7" x14ac:dyDescent="0.3">
      <c r="A20" s="338"/>
      <c r="B20" s="338"/>
      <c r="C20" s="338" t="s">
        <v>647</v>
      </c>
      <c r="D20" s="340">
        <f>60*6*20*12*20.8*1</f>
        <v>1797120</v>
      </c>
      <c r="F20" s="332"/>
      <c r="G20" s="329"/>
    </row>
    <row r="21" spans="1:7" x14ac:dyDescent="0.3">
      <c r="A21" s="338"/>
      <c r="B21" s="338"/>
      <c r="C21" s="348" t="s">
        <v>648</v>
      </c>
      <c r="D21" s="349"/>
      <c r="F21" s="332"/>
      <c r="G21" s="329"/>
    </row>
    <row r="22" spans="1:7" x14ac:dyDescent="0.3">
      <c r="A22" s="338"/>
      <c r="B22" s="338"/>
      <c r="C22" s="338" t="s">
        <v>649</v>
      </c>
      <c r="D22" s="340">
        <f>85.5*6*20*6*20.8*1</f>
        <v>1280448</v>
      </c>
      <c r="F22" s="332"/>
      <c r="G22" s="329"/>
    </row>
    <row r="23" spans="1:7" ht="37.5" x14ac:dyDescent="0.3">
      <c r="A23" s="338"/>
      <c r="B23" s="338"/>
      <c r="C23" s="348" t="s">
        <v>650</v>
      </c>
      <c r="D23" s="349"/>
      <c r="F23" s="332"/>
      <c r="G23" s="329"/>
    </row>
    <row r="24" spans="1:7" x14ac:dyDescent="0.3">
      <c r="A24" s="338"/>
      <c r="B24" s="338"/>
      <c r="C24" s="338" t="s">
        <v>651</v>
      </c>
      <c r="D24" s="340">
        <f>42.75*6*20*6*20.8*1</f>
        <v>640224</v>
      </c>
      <c r="F24" s="332"/>
      <c r="G24" s="329"/>
    </row>
    <row r="25" spans="1:7" x14ac:dyDescent="0.3">
      <c r="A25" s="350"/>
      <c r="B25" s="350"/>
      <c r="C25" s="351" t="s">
        <v>652</v>
      </c>
      <c r="D25" s="352"/>
      <c r="F25" s="332"/>
      <c r="G25" s="329"/>
    </row>
    <row r="26" spans="1:7" x14ac:dyDescent="0.3">
      <c r="A26" s="350"/>
      <c r="B26" s="350"/>
      <c r="C26" s="353" t="s">
        <v>653</v>
      </c>
      <c r="D26" s="352">
        <f>2*15*7*12*26*18.47</f>
        <v>1210154.3999999999</v>
      </c>
      <c r="F26" s="332"/>
      <c r="G26" s="329"/>
    </row>
    <row r="27" spans="1:7" s="337" customFormat="1" ht="19.5" x14ac:dyDescent="0.35">
      <c r="A27" s="341">
        <v>5</v>
      </c>
      <c r="B27" s="341"/>
      <c r="C27" s="342" t="s">
        <v>654</v>
      </c>
      <c r="D27" s="343">
        <f>SUM(D28:D30)</f>
        <v>192000</v>
      </c>
      <c r="F27" s="332"/>
      <c r="G27" s="329"/>
    </row>
    <row r="28" spans="1:7" s="354" customFormat="1" x14ac:dyDescent="0.3">
      <c r="A28" s="338"/>
      <c r="B28" s="338"/>
      <c r="C28" s="339" t="s">
        <v>655</v>
      </c>
      <c r="D28" s="340">
        <f>20*12*85</f>
        <v>20400</v>
      </c>
      <c r="F28" s="355"/>
      <c r="G28" s="356"/>
    </row>
    <row r="29" spans="1:7" s="354" customFormat="1" x14ac:dyDescent="0.3">
      <c r="A29" s="357"/>
      <c r="B29" s="357"/>
      <c r="C29" s="339" t="s">
        <v>656</v>
      </c>
      <c r="D29" s="340">
        <v>150000</v>
      </c>
      <c r="F29" s="355"/>
      <c r="G29" s="356"/>
    </row>
    <row r="30" spans="1:7" s="354" customFormat="1" x14ac:dyDescent="0.3">
      <c r="A30" s="338"/>
      <c r="B30" s="338"/>
      <c r="C30" s="339" t="s">
        <v>657</v>
      </c>
      <c r="D30" s="340">
        <f>12*1800</f>
        <v>21600</v>
      </c>
      <c r="F30" s="355"/>
      <c r="G30" s="356"/>
    </row>
    <row r="31" spans="1:7" s="354" customFormat="1" ht="19.5" x14ac:dyDescent="0.35">
      <c r="A31" s="341">
        <v>6</v>
      </c>
      <c r="B31" s="341"/>
      <c r="C31" s="342" t="s">
        <v>658</v>
      </c>
      <c r="D31" s="343">
        <f>SUM(D32:D36)</f>
        <v>43920</v>
      </c>
      <c r="F31" s="355"/>
      <c r="G31" s="356"/>
    </row>
    <row r="32" spans="1:7" s="354" customFormat="1" x14ac:dyDescent="0.3">
      <c r="A32" s="350"/>
      <c r="B32" s="350"/>
      <c r="C32" s="351" t="s">
        <v>659</v>
      </c>
      <c r="D32" s="352">
        <f>200*12*2</f>
        <v>4800</v>
      </c>
      <c r="F32" s="355"/>
      <c r="G32" s="356"/>
    </row>
    <row r="33" spans="1:7" s="354" customFormat="1" x14ac:dyDescent="0.3">
      <c r="A33" s="338"/>
      <c r="B33" s="338"/>
      <c r="C33" s="339" t="s">
        <v>660</v>
      </c>
      <c r="D33" s="340">
        <f>400*12</f>
        <v>4800</v>
      </c>
      <c r="F33" s="355"/>
    </row>
    <row r="34" spans="1:7" x14ac:dyDescent="0.3">
      <c r="A34" s="338"/>
      <c r="B34" s="338"/>
      <c r="C34" s="339" t="s">
        <v>661</v>
      </c>
      <c r="D34" s="340">
        <v>7920</v>
      </c>
    </row>
    <row r="35" spans="1:7" x14ac:dyDescent="0.3">
      <c r="A35" s="338"/>
      <c r="B35" s="338"/>
      <c r="C35" s="339" t="s">
        <v>662</v>
      </c>
      <c r="D35" s="340">
        <v>13200</v>
      </c>
    </row>
    <row r="36" spans="1:7" x14ac:dyDescent="0.3">
      <c r="A36" s="338"/>
      <c r="B36" s="338"/>
      <c r="C36" s="339" t="s">
        <v>663</v>
      </c>
      <c r="D36" s="340">
        <v>13200</v>
      </c>
    </row>
    <row r="37" spans="1:7" s="358" customFormat="1" ht="19.5" x14ac:dyDescent="0.35">
      <c r="A37" s="341">
        <v>7</v>
      </c>
      <c r="B37" s="341"/>
      <c r="C37" s="342" t="s">
        <v>664</v>
      </c>
      <c r="D37" s="343">
        <v>10000</v>
      </c>
      <c r="F37" s="359"/>
    </row>
    <row r="38" spans="1:7" ht="19.5" x14ac:dyDescent="0.35">
      <c r="A38" s="341">
        <v>8</v>
      </c>
      <c r="B38" s="341"/>
      <c r="C38" s="342" t="s">
        <v>665</v>
      </c>
      <c r="D38" s="343">
        <f>SUM(D39:D66)</f>
        <v>1391400</v>
      </c>
    </row>
    <row r="39" spans="1:7" ht="19.5" x14ac:dyDescent="0.35">
      <c r="A39" s="341" t="s">
        <v>666</v>
      </c>
      <c r="B39" s="341"/>
      <c r="C39" s="342" t="s">
        <v>667</v>
      </c>
      <c r="D39" s="343">
        <v>50000</v>
      </c>
    </row>
    <row r="40" spans="1:7" x14ac:dyDescent="0.3">
      <c r="A40" s="344" t="s">
        <v>668</v>
      </c>
      <c r="B40" s="344"/>
      <c r="C40" s="360" t="s">
        <v>669</v>
      </c>
      <c r="D40" s="349"/>
      <c r="G40" s="361"/>
    </row>
    <row r="41" spans="1:7" x14ac:dyDescent="0.3">
      <c r="A41" s="338"/>
      <c r="B41" s="338"/>
      <c r="C41" s="348" t="s">
        <v>670</v>
      </c>
      <c r="D41" s="340">
        <f>3*500*12</f>
        <v>18000</v>
      </c>
      <c r="G41" s="361"/>
    </row>
    <row r="42" spans="1:7" x14ac:dyDescent="0.3">
      <c r="A42" s="338"/>
      <c r="B42" s="338"/>
      <c r="C42" s="339" t="s">
        <v>671</v>
      </c>
      <c r="D42" s="340"/>
    </row>
    <row r="43" spans="1:7" x14ac:dyDescent="0.3">
      <c r="A43" s="338"/>
      <c r="B43" s="338"/>
      <c r="C43" s="353" t="s">
        <v>672</v>
      </c>
      <c r="D43" s="340">
        <f>5*400*12</f>
        <v>24000</v>
      </c>
    </row>
    <row r="44" spans="1:7" x14ac:dyDescent="0.3">
      <c r="A44" s="338"/>
      <c r="B44" s="338"/>
      <c r="C44" s="351" t="s">
        <v>673</v>
      </c>
      <c r="D44" s="340"/>
    </row>
    <row r="45" spans="1:7" x14ac:dyDescent="0.3">
      <c r="A45" s="338"/>
      <c r="B45" s="338"/>
      <c r="C45" s="353" t="s">
        <v>674</v>
      </c>
      <c r="D45" s="340">
        <f>42*300*12</f>
        <v>151200</v>
      </c>
    </row>
    <row r="46" spans="1:7" x14ac:dyDescent="0.3">
      <c r="A46" s="338"/>
      <c r="B46" s="338"/>
      <c r="C46" s="351" t="s">
        <v>675</v>
      </c>
      <c r="D46" s="340">
        <f>10*300*12</f>
        <v>36000</v>
      </c>
    </row>
    <row r="47" spans="1:7" s="354" customFormat="1" x14ac:dyDescent="0.3">
      <c r="A47" s="344" t="s">
        <v>676</v>
      </c>
      <c r="B47" s="344"/>
      <c r="C47" s="362" t="s">
        <v>677</v>
      </c>
      <c r="D47" s="349"/>
      <c r="F47" s="355"/>
    </row>
    <row r="48" spans="1:7" x14ac:dyDescent="0.3">
      <c r="A48" s="357"/>
      <c r="B48" s="357"/>
      <c r="C48" s="351" t="s">
        <v>678</v>
      </c>
      <c r="D48" s="340">
        <f>3*300*12</f>
        <v>10800</v>
      </c>
    </row>
    <row r="49" spans="1:6" s="363" customFormat="1" x14ac:dyDescent="0.3">
      <c r="A49" s="357"/>
      <c r="B49" s="357"/>
      <c r="C49" s="351" t="s">
        <v>679</v>
      </c>
      <c r="D49" s="340">
        <f>5*250*12</f>
        <v>15000</v>
      </c>
      <c r="F49" s="364"/>
    </row>
    <row r="50" spans="1:6" x14ac:dyDescent="0.3">
      <c r="A50" s="357"/>
      <c r="B50" s="357"/>
      <c r="C50" s="351" t="s">
        <v>680</v>
      </c>
      <c r="D50" s="340">
        <f>11*200*12</f>
        <v>26400</v>
      </c>
    </row>
    <row r="51" spans="1:6" s="354" customFormat="1" x14ac:dyDescent="0.3">
      <c r="A51" s="344"/>
      <c r="B51" s="344"/>
      <c r="C51" s="360" t="s">
        <v>681</v>
      </c>
      <c r="D51" s="349"/>
      <c r="F51" s="355"/>
    </row>
    <row r="52" spans="1:6" x14ac:dyDescent="0.3">
      <c r="A52" s="338"/>
      <c r="B52" s="338"/>
      <c r="C52" s="353" t="s">
        <v>682</v>
      </c>
      <c r="D52" s="340">
        <f>35*25*26*12</f>
        <v>273000</v>
      </c>
    </row>
    <row r="53" spans="1:6" x14ac:dyDescent="0.3">
      <c r="A53" s="344"/>
      <c r="B53" s="344"/>
      <c r="C53" s="360" t="s">
        <v>683</v>
      </c>
      <c r="D53" s="349"/>
    </row>
    <row r="54" spans="1:6" x14ac:dyDescent="0.3">
      <c r="A54" s="338"/>
      <c r="B54" s="338"/>
      <c r="C54" s="365" t="s">
        <v>684</v>
      </c>
      <c r="D54" s="352">
        <f>7*100*250</f>
        <v>175000</v>
      </c>
    </row>
    <row r="55" spans="1:6" x14ac:dyDescent="0.3">
      <c r="A55" s="344"/>
      <c r="B55" s="344"/>
      <c r="C55" s="360" t="s">
        <v>685</v>
      </c>
      <c r="D55" s="349"/>
    </row>
    <row r="56" spans="1:6" s="354" customFormat="1" x14ac:dyDescent="0.3">
      <c r="A56" s="338"/>
      <c r="B56" s="338"/>
      <c r="C56" s="365" t="s">
        <v>686</v>
      </c>
      <c r="D56" s="352">
        <f>14*50*250</f>
        <v>175000</v>
      </c>
      <c r="F56" s="355"/>
    </row>
    <row r="57" spans="1:6" s="354" customFormat="1" x14ac:dyDescent="0.3">
      <c r="A57" s="338"/>
      <c r="B57" s="344"/>
      <c r="C57" s="366" t="s">
        <v>687</v>
      </c>
      <c r="D57" s="352"/>
      <c r="F57" s="355"/>
    </row>
    <row r="58" spans="1:6" s="354" customFormat="1" x14ac:dyDescent="0.3">
      <c r="A58" s="338"/>
      <c r="B58" s="344"/>
      <c r="C58" s="353" t="s">
        <v>688</v>
      </c>
      <c r="D58" s="352">
        <f>63*200*12</f>
        <v>151200</v>
      </c>
      <c r="F58" s="355"/>
    </row>
    <row r="59" spans="1:6" s="358" customFormat="1" x14ac:dyDescent="0.3">
      <c r="A59" s="338"/>
      <c r="B59" s="344"/>
      <c r="C59" s="351" t="s">
        <v>689</v>
      </c>
      <c r="D59" s="352"/>
      <c r="F59" s="359"/>
    </row>
    <row r="60" spans="1:6" x14ac:dyDescent="0.3">
      <c r="A60" s="338"/>
      <c r="B60" s="344"/>
      <c r="C60" s="353" t="s">
        <v>690</v>
      </c>
      <c r="D60" s="352">
        <f>21*150*12</f>
        <v>37800</v>
      </c>
    </row>
    <row r="61" spans="1:6" x14ac:dyDescent="0.3">
      <c r="A61" s="338"/>
      <c r="B61" s="344"/>
      <c r="C61" s="362" t="s">
        <v>691</v>
      </c>
      <c r="D61" s="352"/>
    </row>
    <row r="62" spans="1:6" x14ac:dyDescent="0.3">
      <c r="A62" s="338"/>
      <c r="B62" s="344"/>
      <c r="C62" s="353" t="s">
        <v>692</v>
      </c>
      <c r="D62" s="352">
        <f>21*100*5</f>
        <v>10500</v>
      </c>
    </row>
    <row r="63" spans="1:6" x14ac:dyDescent="0.3">
      <c r="A63" s="338"/>
      <c r="B63" s="344"/>
      <c r="C63" s="362" t="s">
        <v>693</v>
      </c>
      <c r="D63" s="352"/>
    </row>
    <row r="64" spans="1:6" x14ac:dyDescent="0.3">
      <c r="A64" s="338"/>
      <c r="B64" s="344"/>
      <c r="C64" s="353" t="s">
        <v>694</v>
      </c>
      <c r="D64" s="352">
        <f>7*100*5</f>
        <v>3500</v>
      </c>
    </row>
    <row r="65" spans="1:6" x14ac:dyDescent="0.3">
      <c r="A65" s="338"/>
      <c r="B65" s="344"/>
      <c r="C65" s="362" t="s">
        <v>695</v>
      </c>
      <c r="D65" s="352"/>
    </row>
    <row r="66" spans="1:6" s="358" customFormat="1" x14ac:dyDescent="0.3">
      <c r="A66" s="338"/>
      <c r="B66" s="344"/>
      <c r="C66" s="353" t="s">
        <v>696</v>
      </c>
      <c r="D66" s="352">
        <f>78*3000</f>
        <v>234000</v>
      </c>
      <c r="F66" s="359"/>
    </row>
    <row r="67" spans="1:6" s="363" customFormat="1" ht="19.5" x14ac:dyDescent="0.35">
      <c r="A67" s="341">
        <v>9</v>
      </c>
      <c r="B67" s="341"/>
      <c r="C67" s="367" t="s">
        <v>498</v>
      </c>
      <c r="D67" s="347">
        <f>D68</f>
        <v>1420000</v>
      </c>
      <c r="F67" s="364"/>
    </row>
    <row r="68" spans="1:6" s="363" customFormat="1" x14ac:dyDescent="0.3">
      <c r="A68" s="338"/>
      <c r="B68" s="338"/>
      <c r="C68" s="368" t="s">
        <v>697</v>
      </c>
      <c r="D68" s="352">
        <v>1420000</v>
      </c>
      <c r="F68" s="364"/>
    </row>
    <row r="69" spans="1:6" s="363" customFormat="1" ht="19.5" x14ac:dyDescent="0.35">
      <c r="A69" s="341">
        <v>10</v>
      </c>
      <c r="B69" s="341"/>
      <c r="C69" s="342" t="s">
        <v>698</v>
      </c>
      <c r="D69" s="343">
        <f>SUM(D70:D83)</f>
        <v>1624000</v>
      </c>
      <c r="F69" s="364"/>
    </row>
    <row r="70" spans="1:6" s="363" customFormat="1" x14ac:dyDescent="0.3">
      <c r="A70" s="344" t="s">
        <v>699</v>
      </c>
      <c r="B70" s="344"/>
      <c r="C70" s="360" t="s">
        <v>700</v>
      </c>
      <c r="D70" s="349"/>
      <c r="F70" s="364"/>
    </row>
    <row r="71" spans="1:6" s="358" customFormat="1" x14ac:dyDescent="0.3">
      <c r="A71" s="338"/>
      <c r="B71" s="338"/>
      <c r="C71" s="339" t="s">
        <v>701</v>
      </c>
      <c r="D71" s="340">
        <f>150000*1</f>
        <v>150000</v>
      </c>
      <c r="F71" s="359"/>
    </row>
    <row r="72" spans="1:6" x14ac:dyDescent="0.3">
      <c r="A72" s="338"/>
      <c r="B72" s="338"/>
      <c r="C72" s="339" t="s">
        <v>702</v>
      </c>
      <c r="D72" s="340"/>
    </row>
    <row r="73" spans="1:6" s="358" customFormat="1" x14ac:dyDescent="0.3">
      <c r="A73" s="338"/>
      <c r="B73" s="338"/>
      <c r="C73" s="338" t="s">
        <v>703</v>
      </c>
      <c r="D73" s="340">
        <f>90000*1*1</f>
        <v>90000</v>
      </c>
      <c r="F73" s="359"/>
    </row>
    <row r="74" spans="1:6" x14ac:dyDescent="0.3">
      <c r="A74" s="338"/>
      <c r="B74" s="338"/>
      <c r="C74" s="369" t="s">
        <v>704</v>
      </c>
      <c r="D74" s="340">
        <v>150000</v>
      </c>
    </row>
    <row r="75" spans="1:6" s="358" customFormat="1" x14ac:dyDescent="0.3">
      <c r="A75" s="344" t="s">
        <v>705</v>
      </c>
      <c r="B75" s="344"/>
      <c r="C75" s="360" t="s">
        <v>706</v>
      </c>
      <c r="D75" s="349">
        <v>100000</v>
      </c>
      <c r="F75" s="359"/>
    </row>
    <row r="76" spans="1:6" x14ac:dyDescent="0.3">
      <c r="A76" s="370" t="s">
        <v>707</v>
      </c>
      <c r="B76" s="370"/>
      <c r="C76" s="371" t="s">
        <v>708</v>
      </c>
      <c r="D76" s="372"/>
    </row>
    <row r="77" spans="1:6" ht="37.5" x14ac:dyDescent="0.3">
      <c r="A77" s="338"/>
      <c r="B77" s="338"/>
      <c r="C77" s="368" t="s">
        <v>709</v>
      </c>
      <c r="D77" s="352">
        <f>1*199000*2</f>
        <v>398000</v>
      </c>
    </row>
    <row r="78" spans="1:6" x14ac:dyDescent="0.3">
      <c r="A78" s="338"/>
      <c r="B78" s="338"/>
      <c r="C78" s="368" t="s">
        <v>710</v>
      </c>
      <c r="D78" s="352">
        <f>2*99000</f>
        <v>198000</v>
      </c>
    </row>
    <row r="79" spans="1:6" s="354" customFormat="1" x14ac:dyDescent="0.3">
      <c r="A79" s="338"/>
      <c r="B79" s="338"/>
      <c r="C79" s="368" t="s">
        <v>711</v>
      </c>
      <c r="D79" s="352">
        <v>200000</v>
      </c>
      <c r="F79" s="355"/>
    </row>
    <row r="80" spans="1:6" x14ac:dyDescent="0.3">
      <c r="A80" s="373" t="s">
        <v>712</v>
      </c>
      <c r="B80" s="338"/>
      <c r="C80" s="368" t="s">
        <v>713</v>
      </c>
      <c r="D80" s="352"/>
    </row>
    <row r="81" spans="1:6" x14ac:dyDescent="0.3">
      <c r="A81" s="338"/>
      <c r="B81" s="338"/>
      <c r="C81" s="365" t="s">
        <v>714</v>
      </c>
      <c r="D81" s="352">
        <f>99000*2</f>
        <v>198000</v>
      </c>
    </row>
    <row r="82" spans="1:6" s="354" customFormat="1" x14ac:dyDescent="0.3">
      <c r="A82" s="338" t="s">
        <v>715</v>
      </c>
      <c r="B82" s="338"/>
      <c r="C82" s="368" t="s">
        <v>716</v>
      </c>
      <c r="D82" s="352"/>
      <c r="F82" s="355"/>
    </row>
    <row r="83" spans="1:6" s="358" customFormat="1" x14ac:dyDescent="0.3">
      <c r="A83" s="338"/>
      <c r="B83" s="338"/>
      <c r="C83" s="365" t="s">
        <v>717</v>
      </c>
      <c r="D83" s="352">
        <f>2*70000</f>
        <v>140000</v>
      </c>
      <c r="F83" s="359"/>
    </row>
    <row r="84" spans="1:6" ht="19.5" x14ac:dyDescent="0.35">
      <c r="A84" s="374">
        <v>11</v>
      </c>
      <c r="B84" s="374"/>
      <c r="C84" s="342" t="s">
        <v>718</v>
      </c>
      <c r="D84" s="343">
        <f>D85+D100+D101</f>
        <v>2914860</v>
      </c>
    </row>
    <row r="85" spans="1:6" x14ac:dyDescent="0.3">
      <c r="A85" s="344" t="s">
        <v>719</v>
      </c>
      <c r="B85" s="344"/>
      <c r="C85" s="360" t="s">
        <v>720</v>
      </c>
      <c r="D85" s="349">
        <f>SUM(D86:D99)</f>
        <v>414860</v>
      </c>
    </row>
    <row r="86" spans="1:6" x14ac:dyDescent="0.3">
      <c r="A86" s="338"/>
      <c r="B86" s="338"/>
      <c r="C86" s="339" t="s">
        <v>721</v>
      </c>
      <c r="D86" s="340">
        <f>65*1500*2</f>
        <v>195000</v>
      </c>
    </row>
    <row r="87" spans="1:6" x14ac:dyDescent="0.3">
      <c r="A87" s="338"/>
      <c r="B87" s="338"/>
      <c r="C87" s="339" t="s">
        <v>722</v>
      </c>
      <c r="D87" s="340">
        <f>78*1*800</f>
        <v>62400</v>
      </c>
    </row>
    <row r="88" spans="1:6" s="358" customFormat="1" x14ac:dyDescent="0.3">
      <c r="A88" s="338"/>
      <c r="B88" s="338"/>
      <c r="C88" s="339" t="s">
        <v>723</v>
      </c>
      <c r="D88" s="340">
        <f>65*300*2</f>
        <v>39000</v>
      </c>
      <c r="F88" s="359"/>
    </row>
    <row r="89" spans="1:6" s="358" customFormat="1" x14ac:dyDescent="0.3">
      <c r="A89" s="338"/>
      <c r="B89" s="338"/>
      <c r="C89" s="339" t="s">
        <v>724</v>
      </c>
      <c r="D89" s="340">
        <f>65*200</f>
        <v>13000</v>
      </c>
      <c r="F89" s="359"/>
    </row>
    <row r="90" spans="1:6" x14ac:dyDescent="0.3">
      <c r="A90" s="338"/>
      <c r="B90" s="338"/>
      <c r="C90" s="339" t="s">
        <v>725</v>
      </c>
      <c r="D90" s="340">
        <f>65*540</f>
        <v>35100</v>
      </c>
    </row>
    <row r="91" spans="1:6" x14ac:dyDescent="0.3">
      <c r="A91" s="338"/>
      <c r="B91" s="338"/>
      <c r="C91" s="339" t="s">
        <v>726</v>
      </c>
      <c r="D91" s="340">
        <f>3*50*12*10</f>
        <v>18000</v>
      </c>
    </row>
    <row r="92" spans="1:6" x14ac:dyDescent="0.3">
      <c r="A92" s="338"/>
      <c r="B92" s="338"/>
      <c r="C92" s="339" t="s">
        <v>727</v>
      </c>
      <c r="D92" s="340">
        <f>360*20</f>
        <v>7200</v>
      </c>
    </row>
    <row r="93" spans="1:6" s="358" customFormat="1" x14ac:dyDescent="0.3">
      <c r="A93" s="338"/>
      <c r="B93" s="338"/>
      <c r="C93" s="339" t="s">
        <v>728</v>
      </c>
      <c r="D93" s="340">
        <f>40*100</f>
        <v>4000</v>
      </c>
      <c r="F93" s="359"/>
    </row>
    <row r="94" spans="1:6" x14ac:dyDescent="0.3">
      <c r="A94" s="338"/>
      <c r="B94" s="338"/>
      <c r="C94" s="339" t="s">
        <v>729</v>
      </c>
      <c r="D94" s="340">
        <f xml:space="preserve"> 36*15</f>
        <v>540</v>
      </c>
    </row>
    <row r="95" spans="1:6" s="354" customFormat="1" x14ac:dyDescent="0.3">
      <c r="A95" s="338"/>
      <c r="B95" s="338"/>
      <c r="C95" s="339" t="s">
        <v>730</v>
      </c>
      <c r="D95" s="340">
        <f>36*50</f>
        <v>1800</v>
      </c>
      <c r="F95" s="355"/>
    </row>
    <row r="96" spans="1:6" s="358" customFormat="1" x14ac:dyDescent="0.3">
      <c r="A96" s="338"/>
      <c r="B96" s="338"/>
      <c r="C96" s="339" t="s">
        <v>731</v>
      </c>
      <c r="D96" s="340">
        <f>12*80</f>
        <v>960</v>
      </c>
      <c r="F96" s="359"/>
    </row>
    <row r="97" spans="1:4" x14ac:dyDescent="0.3">
      <c r="A97" s="338"/>
      <c r="B97" s="338"/>
      <c r="C97" s="339" t="s">
        <v>732</v>
      </c>
      <c r="D97" s="340">
        <f>300*100</f>
        <v>30000</v>
      </c>
    </row>
    <row r="98" spans="1:4" x14ac:dyDescent="0.3">
      <c r="A98" s="338"/>
      <c r="B98" s="338"/>
      <c r="C98" s="339" t="s">
        <v>733</v>
      </c>
      <c r="D98" s="340">
        <f>12*15</f>
        <v>180</v>
      </c>
    </row>
    <row r="99" spans="1:4" x14ac:dyDescent="0.3">
      <c r="A99" s="338"/>
      <c r="B99" s="338"/>
      <c r="C99" s="339" t="s">
        <v>734</v>
      </c>
      <c r="D99" s="340">
        <f>2*8*12*40</f>
        <v>7680</v>
      </c>
    </row>
    <row r="100" spans="1:4" x14ac:dyDescent="0.3">
      <c r="A100" s="344" t="s">
        <v>735</v>
      </c>
      <c r="B100" s="344"/>
      <c r="C100" s="360" t="s">
        <v>736</v>
      </c>
      <c r="D100" s="349">
        <f>1250*1000</f>
        <v>1250000</v>
      </c>
    </row>
    <row r="101" spans="1:4" x14ac:dyDescent="0.3">
      <c r="A101" s="344" t="s">
        <v>737</v>
      </c>
      <c r="B101" s="344"/>
      <c r="C101" s="371" t="s">
        <v>738</v>
      </c>
      <c r="D101" s="349">
        <f>1250*1000</f>
        <v>1250000</v>
      </c>
    </row>
    <row r="102" spans="1:4" ht="19.5" x14ac:dyDescent="0.35">
      <c r="A102" s="374">
        <v>12</v>
      </c>
      <c r="B102" s="374"/>
      <c r="C102" s="375" t="s">
        <v>739</v>
      </c>
      <c r="D102" s="343">
        <f>SUM(D103:D162)</f>
        <v>10470930</v>
      </c>
    </row>
    <row r="103" spans="1:4" ht="37.5" x14ac:dyDescent="0.3">
      <c r="A103" s="376"/>
      <c r="B103" s="376"/>
      <c r="C103" s="348" t="s">
        <v>740</v>
      </c>
      <c r="D103" s="352">
        <v>300000</v>
      </c>
    </row>
    <row r="104" spans="1:4" x14ac:dyDescent="0.3">
      <c r="A104" s="376"/>
      <c r="B104" s="376"/>
      <c r="C104" s="348" t="s">
        <v>741</v>
      </c>
      <c r="D104" s="340">
        <v>30000</v>
      </c>
    </row>
    <row r="105" spans="1:4" x14ac:dyDescent="0.3">
      <c r="A105" s="376"/>
      <c r="B105" s="376"/>
      <c r="C105" s="377" t="s">
        <v>742</v>
      </c>
      <c r="D105" s="340">
        <v>1500000</v>
      </c>
    </row>
    <row r="106" spans="1:4" x14ac:dyDescent="0.3">
      <c r="A106" s="376"/>
      <c r="B106" s="376"/>
      <c r="C106" s="377" t="s">
        <v>743</v>
      </c>
      <c r="D106" s="340">
        <v>1500000</v>
      </c>
    </row>
    <row r="107" spans="1:4" x14ac:dyDescent="0.3">
      <c r="A107" s="376"/>
      <c r="B107" s="376"/>
      <c r="C107" s="377" t="s">
        <v>744</v>
      </c>
      <c r="D107" s="340">
        <v>1000000</v>
      </c>
    </row>
    <row r="108" spans="1:4" x14ac:dyDescent="0.3">
      <c r="A108" s="376"/>
      <c r="B108" s="376"/>
      <c r="C108" s="339" t="s">
        <v>745</v>
      </c>
      <c r="D108" s="340">
        <v>35000</v>
      </c>
    </row>
    <row r="109" spans="1:4" ht="37.5" x14ac:dyDescent="0.3">
      <c r="A109" s="376"/>
      <c r="B109" s="376"/>
      <c r="C109" s="348" t="s">
        <v>746</v>
      </c>
      <c r="D109" s="352">
        <v>20000</v>
      </c>
    </row>
    <row r="110" spans="1:4" x14ac:dyDescent="0.3">
      <c r="A110" s="376"/>
      <c r="B110" s="376"/>
      <c r="C110" s="348" t="s">
        <v>747</v>
      </c>
      <c r="D110" s="352">
        <v>70000</v>
      </c>
    </row>
    <row r="111" spans="1:4" x14ac:dyDescent="0.3">
      <c r="A111" s="376"/>
      <c r="B111" s="376"/>
      <c r="C111" s="348" t="s">
        <v>748</v>
      </c>
      <c r="D111" s="352">
        <v>15000</v>
      </c>
    </row>
    <row r="112" spans="1:4" x14ac:dyDescent="0.3">
      <c r="A112" s="376"/>
      <c r="B112" s="376"/>
      <c r="C112" s="348" t="s">
        <v>749</v>
      </c>
      <c r="D112" s="352">
        <v>10000</v>
      </c>
    </row>
    <row r="113" spans="1:6" s="358" customFormat="1" x14ac:dyDescent="0.3">
      <c r="A113" s="376"/>
      <c r="B113" s="376"/>
      <c r="C113" s="348" t="s">
        <v>750</v>
      </c>
      <c r="D113" s="352">
        <v>40000</v>
      </c>
      <c r="F113" s="359"/>
    </row>
    <row r="114" spans="1:6" s="358" customFormat="1" x14ac:dyDescent="0.3">
      <c r="A114" s="376"/>
      <c r="B114" s="376"/>
      <c r="C114" s="348" t="s">
        <v>751</v>
      </c>
      <c r="D114" s="352">
        <v>1000000</v>
      </c>
      <c r="F114" s="359"/>
    </row>
    <row r="115" spans="1:6" s="358" customFormat="1" x14ac:dyDescent="0.3">
      <c r="A115" s="376"/>
      <c r="B115" s="376"/>
      <c r="C115" s="348" t="s">
        <v>752</v>
      </c>
      <c r="D115" s="352">
        <v>35000</v>
      </c>
      <c r="F115" s="359"/>
    </row>
    <row r="116" spans="1:6" s="354" customFormat="1" x14ac:dyDescent="0.3">
      <c r="A116" s="376"/>
      <c r="B116" s="376"/>
      <c r="C116" s="348" t="s">
        <v>753</v>
      </c>
      <c r="D116" s="352">
        <v>25000</v>
      </c>
      <c r="F116" s="355"/>
    </row>
    <row r="117" spans="1:6" x14ac:dyDescent="0.3">
      <c r="A117" s="376"/>
      <c r="B117" s="376"/>
      <c r="C117" s="348" t="s">
        <v>754</v>
      </c>
      <c r="D117" s="352">
        <v>400000</v>
      </c>
    </row>
    <row r="118" spans="1:6" s="363" customFormat="1" x14ac:dyDescent="0.3">
      <c r="A118" s="376"/>
      <c r="B118" s="376"/>
      <c r="C118" s="348" t="s">
        <v>755</v>
      </c>
      <c r="D118" s="352">
        <v>50000</v>
      </c>
      <c r="F118" s="364"/>
    </row>
    <row r="119" spans="1:6" ht="37.5" x14ac:dyDescent="0.3">
      <c r="A119" s="376"/>
      <c r="B119" s="376"/>
      <c r="C119" s="348" t="s">
        <v>756</v>
      </c>
      <c r="D119" s="352">
        <f>6*300000</f>
        <v>1800000</v>
      </c>
    </row>
    <row r="120" spans="1:6" x14ac:dyDescent="0.3">
      <c r="A120" s="376"/>
      <c r="B120" s="376"/>
      <c r="C120" s="339" t="s">
        <v>757</v>
      </c>
      <c r="D120" s="340">
        <v>15000</v>
      </c>
    </row>
    <row r="121" spans="1:6" x14ac:dyDescent="0.3">
      <c r="A121" s="376"/>
      <c r="B121" s="376"/>
      <c r="C121" s="339" t="s">
        <v>758</v>
      </c>
      <c r="D121" s="340">
        <v>9000</v>
      </c>
    </row>
    <row r="122" spans="1:6" x14ac:dyDescent="0.3">
      <c r="A122" s="376"/>
      <c r="B122" s="376"/>
      <c r="C122" s="339" t="s">
        <v>759</v>
      </c>
      <c r="D122" s="340">
        <v>15000</v>
      </c>
    </row>
    <row r="123" spans="1:6" x14ac:dyDescent="0.3">
      <c r="A123" s="376"/>
      <c r="B123" s="376"/>
      <c r="C123" s="339" t="s">
        <v>760</v>
      </c>
      <c r="D123" s="340">
        <f>8*2400</f>
        <v>19200</v>
      </c>
    </row>
    <row r="124" spans="1:6" x14ac:dyDescent="0.3">
      <c r="A124" s="376"/>
      <c r="B124" s="376"/>
      <c r="C124" s="339" t="s">
        <v>761</v>
      </c>
      <c r="D124" s="340">
        <f>12*4500</f>
        <v>54000</v>
      </c>
    </row>
    <row r="125" spans="1:6" x14ac:dyDescent="0.3">
      <c r="A125" s="376"/>
      <c r="B125" s="376"/>
      <c r="C125" s="339" t="s">
        <v>762</v>
      </c>
      <c r="D125" s="340">
        <v>4000</v>
      </c>
    </row>
    <row r="126" spans="1:6" x14ac:dyDescent="0.3">
      <c r="A126" s="376"/>
      <c r="B126" s="376"/>
      <c r="C126" s="339" t="s">
        <v>763</v>
      </c>
      <c r="D126" s="340">
        <v>10000</v>
      </c>
    </row>
    <row r="127" spans="1:6" x14ac:dyDescent="0.3">
      <c r="A127" s="376"/>
      <c r="B127" s="376"/>
      <c r="C127" s="339" t="s">
        <v>764</v>
      </c>
      <c r="D127" s="340">
        <v>7000</v>
      </c>
    </row>
    <row r="128" spans="1:6" x14ac:dyDescent="0.3">
      <c r="A128" s="376"/>
      <c r="B128" s="376"/>
      <c r="C128" s="339" t="s">
        <v>765</v>
      </c>
      <c r="D128" s="340">
        <v>7000</v>
      </c>
    </row>
    <row r="129" spans="1:6" x14ac:dyDescent="0.3">
      <c r="A129" s="376"/>
      <c r="B129" s="376"/>
      <c r="C129" s="339" t="s">
        <v>766</v>
      </c>
      <c r="D129" s="340">
        <f>52*150</f>
        <v>7800</v>
      </c>
    </row>
    <row r="130" spans="1:6" x14ac:dyDescent="0.3">
      <c r="A130" s="376"/>
      <c r="B130" s="376"/>
      <c r="C130" s="339" t="s">
        <v>767</v>
      </c>
      <c r="D130" s="340">
        <f>50*150</f>
        <v>7500</v>
      </c>
    </row>
    <row r="131" spans="1:6" x14ac:dyDescent="0.3">
      <c r="A131" s="376"/>
      <c r="B131" s="376"/>
      <c r="C131" s="339" t="s">
        <v>768</v>
      </c>
      <c r="D131" s="340">
        <f>50*150</f>
        <v>7500</v>
      </c>
    </row>
    <row r="132" spans="1:6" x14ac:dyDescent="0.3">
      <c r="A132" s="376"/>
      <c r="B132" s="376"/>
      <c r="C132" s="339" t="s">
        <v>769</v>
      </c>
      <c r="D132" s="340">
        <f>100*110</f>
        <v>11000</v>
      </c>
    </row>
    <row r="133" spans="1:6" x14ac:dyDescent="0.3">
      <c r="A133" s="376"/>
      <c r="B133" s="376"/>
      <c r="C133" s="339" t="s">
        <v>770</v>
      </c>
      <c r="D133" s="340">
        <f>500*110</f>
        <v>55000</v>
      </c>
    </row>
    <row r="134" spans="1:6" x14ac:dyDescent="0.3">
      <c r="A134" s="378"/>
      <c r="B134" s="378"/>
      <c r="C134" s="379" t="s">
        <v>771</v>
      </c>
      <c r="D134" s="352">
        <f>25*850</f>
        <v>21250</v>
      </c>
    </row>
    <row r="135" spans="1:6" x14ac:dyDescent="0.3">
      <c r="A135" s="378"/>
      <c r="B135" s="376"/>
      <c r="C135" s="339" t="s">
        <v>772</v>
      </c>
      <c r="D135" s="340">
        <v>150000</v>
      </c>
    </row>
    <row r="136" spans="1:6" ht="37.5" x14ac:dyDescent="0.3">
      <c r="A136" s="376"/>
      <c r="B136" s="376"/>
      <c r="C136" s="348" t="s">
        <v>773</v>
      </c>
      <c r="D136" s="352">
        <v>15000</v>
      </c>
    </row>
    <row r="137" spans="1:6" x14ac:dyDescent="0.3">
      <c r="A137" s="376"/>
      <c r="B137" s="376"/>
      <c r="C137" s="380" t="s">
        <v>774</v>
      </c>
      <c r="D137" s="381">
        <v>2000</v>
      </c>
    </row>
    <row r="138" spans="1:6" ht="37.5" x14ac:dyDescent="0.3">
      <c r="A138" s="376"/>
      <c r="B138" s="376"/>
      <c r="C138" s="379" t="s">
        <v>775</v>
      </c>
      <c r="D138" s="381">
        <v>5000</v>
      </c>
    </row>
    <row r="139" spans="1:6" x14ac:dyDescent="0.3">
      <c r="A139" s="376"/>
      <c r="B139" s="376"/>
      <c r="C139" s="382" t="s">
        <v>776</v>
      </c>
      <c r="D139" s="381">
        <f>3*3500</f>
        <v>10500</v>
      </c>
    </row>
    <row r="140" spans="1:6" ht="37.5" x14ac:dyDescent="0.3">
      <c r="A140" s="376"/>
      <c r="B140" s="376"/>
      <c r="C140" s="379" t="s">
        <v>777</v>
      </c>
      <c r="D140" s="381">
        <v>2400</v>
      </c>
    </row>
    <row r="141" spans="1:6" ht="37.5" x14ac:dyDescent="0.3">
      <c r="A141" s="376"/>
      <c r="B141" s="376"/>
      <c r="C141" s="379" t="s">
        <v>778</v>
      </c>
      <c r="D141" s="381">
        <v>12000</v>
      </c>
    </row>
    <row r="142" spans="1:6" ht="37.5" x14ac:dyDescent="0.3">
      <c r="A142" s="378"/>
      <c r="B142" s="378"/>
      <c r="C142" s="383" t="s">
        <v>779</v>
      </c>
      <c r="D142" s="381">
        <v>3600</v>
      </c>
    </row>
    <row r="143" spans="1:6" s="354" customFormat="1" x14ac:dyDescent="0.3">
      <c r="A143" s="376"/>
      <c r="B143" s="376"/>
      <c r="C143" s="339" t="s">
        <v>780</v>
      </c>
      <c r="D143" s="384">
        <v>5000</v>
      </c>
      <c r="F143" s="355"/>
    </row>
    <row r="144" spans="1:6" x14ac:dyDescent="0.3">
      <c r="A144" s="376"/>
      <c r="B144" s="376"/>
      <c r="C144" s="339" t="s">
        <v>781</v>
      </c>
      <c r="D144" s="384"/>
    </row>
    <row r="145" spans="1:6" s="363" customFormat="1" ht="37.5" x14ac:dyDescent="0.3">
      <c r="A145" s="376"/>
      <c r="B145" s="376"/>
      <c r="C145" s="348" t="s">
        <v>782</v>
      </c>
      <c r="D145" s="381">
        <v>5000</v>
      </c>
      <c r="F145" s="364"/>
    </row>
    <row r="146" spans="1:6" s="363" customFormat="1" x14ac:dyDescent="0.3">
      <c r="A146" s="376"/>
      <c r="B146" s="376"/>
      <c r="C146" s="368" t="s">
        <v>783</v>
      </c>
      <c r="D146" s="384">
        <v>3000</v>
      </c>
      <c r="F146" s="364"/>
    </row>
    <row r="147" spans="1:6" s="363" customFormat="1" x14ac:dyDescent="0.3">
      <c r="A147" s="376"/>
      <c r="B147" s="376"/>
      <c r="C147" s="385" t="s">
        <v>784</v>
      </c>
      <c r="D147" s="384">
        <v>60000</v>
      </c>
      <c r="F147" s="364"/>
    </row>
    <row r="148" spans="1:6" s="363" customFormat="1" x14ac:dyDescent="0.3">
      <c r="A148" s="376"/>
      <c r="B148" s="376"/>
      <c r="C148" s="385" t="s">
        <v>785</v>
      </c>
      <c r="D148" s="384">
        <v>1000000</v>
      </c>
      <c r="F148" s="364"/>
    </row>
    <row r="149" spans="1:6" s="363" customFormat="1" x14ac:dyDescent="0.3">
      <c r="A149" s="376"/>
      <c r="B149" s="376"/>
      <c r="C149" s="386" t="s">
        <v>786</v>
      </c>
      <c r="D149" s="384"/>
      <c r="F149" s="364"/>
    </row>
    <row r="150" spans="1:6" s="363" customFormat="1" x14ac:dyDescent="0.3">
      <c r="A150" s="376"/>
      <c r="B150" s="387"/>
      <c r="C150" s="379" t="s">
        <v>787</v>
      </c>
      <c r="D150" s="388">
        <v>2000</v>
      </c>
      <c r="F150" s="364"/>
    </row>
    <row r="151" spans="1:6" ht="37.5" x14ac:dyDescent="0.3">
      <c r="A151" s="376"/>
      <c r="B151" s="387"/>
      <c r="C151" s="379" t="s">
        <v>788</v>
      </c>
      <c r="D151" s="388">
        <v>5000</v>
      </c>
    </row>
    <row r="152" spans="1:6" s="363" customFormat="1" x14ac:dyDescent="0.3">
      <c r="A152" s="376"/>
      <c r="B152" s="387"/>
      <c r="C152" s="379" t="s">
        <v>789</v>
      </c>
      <c r="D152" s="389">
        <v>500000</v>
      </c>
      <c r="F152" s="364"/>
    </row>
    <row r="153" spans="1:6" x14ac:dyDescent="0.3">
      <c r="A153" s="376"/>
      <c r="B153" s="387"/>
      <c r="C153" s="379" t="s">
        <v>790</v>
      </c>
      <c r="D153" s="389">
        <v>15000</v>
      </c>
    </row>
    <row r="154" spans="1:6" x14ac:dyDescent="0.3">
      <c r="A154" s="376"/>
      <c r="B154" s="387"/>
      <c r="C154" s="379" t="s">
        <v>791</v>
      </c>
      <c r="D154" s="389">
        <v>5000</v>
      </c>
    </row>
    <row r="155" spans="1:6" x14ac:dyDescent="0.3">
      <c r="A155" s="376"/>
      <c r="B155" s="387"/>
      <c r="C155" s="379" t="s">
        <v>792</v>
      </c>
      <c r="D155" s="389">
        <v>7000</v>
      </c>
    </row>
    <row r="156" spans="1:6" x14ac:dyDescent="0.3">
      <c r="A156" s="376"/>
      <c r="B156" s="387"/>
      <c r="C156" s="379" t="s">
        <v>793</v>
      </c>
      <c r="D156" s="389">
        <v>8000</v>
      </c>
    </row>
    <row r="157" spans="1:6" x14ac:dyDescent="0.3">
      <c r="A157" s="376"/>
      <c r="B157" s="387"/>
      <c r="C157" s="379" t="s">
        <v>794</v>
      </c>
      <c r="D157" s="389">
        <v>25000</v>
      </c>
    </row>
    <row r="158" spans="1:6" x14ac:dyDescent="0.3">
      <c r="A158" s="376"/>
      <c r="B158" s="387"/>
      <c r="C158" s="379" t="s">
        <v>795</v>
      </c>
      <c r="D158" s="389">
        <v>5000</v>
      </c>
    </row>
    <row r="159" spans="1:6" ht="37.5" x14ac:dyDescent="0.3">
      <c r="A159" s="376"/>
      <c r="B159" s="387"/>
      <c r="C159" s="390" t="s">
        <v>796</v>
      </c>
      <c r="D159" s="388">
        <v>5000</v>
      </c>
    </row>
    <row r="160" spans="1:6" s="363" customFormat="1" x14ac:dyDescent="0.3">
      <c r="A160" s="376"/>
      <c r="B160" s="387"/>
      <c r="C160" s="390" t="s">
        <v>797</v>
      </c>
      <c r="D160" s="389">
        <v>480180</v>
      </c>
      <c r="F160" s="364"/>
    </row>
    <row r="161" spans="1:6" s="363" customFormat="1" x14ac:dyDescent="0.3">
      <c r="A161" s="376"/>
      <c r="B161" s="387"/>
      <c r="C161" s="390" t="s">
        <v>798</v>
      </c>
      <c r="D161" s="389">
        <v>30000</v>
      </c>
      <c r="F161" s="364"/>
    </row>
    <row r="162" spans="1:6" x14ac:dyDescent="0.3">
      <c r="A162" s="376"/>
      <c r="B162" s="387"/>
      <c r="C162" s="390" t="s">
        <v>799</v>
      </c>
      <c r="D162" s="389">
        <v>30000</v>
      </c>
    </row>
    <row r="163" spans="1:6" ht="19.5" x14ac:dyDescent="0.35">
      <c r="A163" s="391">
        <v>13</v>
      </c>
      <c r="B163" s="374"/>
      <c r="C163" s="342" t="s">
        <v>800</v>
      </c>
      <c r="D163" s="343">
        <f>SUM(D164:D164)</f>
        <v>500000</v>
      </c>
    </row>
    <row r="164" spans="1:6" x14ac:dyDescent="0.3">
      <c r="A164" s="378"/>
      <c r="B164" s="376"/>
      <c r="C164" s="339" t="s">
        <v>801</v>
      </c>
      <c r="D164" s="340">
        <v>500000</v>
      </c>
    </row>
    <row r="165" spans="1:6" s="363" customFormat="1" x14ac:dyDescent="0.3">
      <c r="A165" s="322" t="s">
        <v>1</v>
      </c>
      <c r="B165" s="322"/>
      <c r="C165" s="392" t="s">
        <v>629</v>
      </c>
      <c r="D165" s="393">
        <f>SUM(D166:D170)</f>
        <v>23089799.899815388</v>
      </c>
      <c r="F165" s="364"/>
    </row>
    <row r="166" spans="1:6" s="363" customFormat="1" ht="37.5" x14ac:dyDescent="0.3">
      <c r="A166" s="376"/>
      <c r="B166" s="387"/>
      <c r="C166" s="390" t="s">
        <v>802</v>
      </c>
      <c r="D166" s="389">
        <v>7000000</v>
      </c>
      <c r="F166" s="364"/>
    </row>
    <row r="167" spans="1:6" s="363" customFormat="1" x14ac:dyDescent="0.3">
      <c r="A167" s="376"/>
      <c r="B167" s="387"/>
      <c r="C167" s="390" t="s">
        <v>803</v>
      </c>
      <c r="D167" s="389">
        <v>8000000</v>
      </c>
      <c r="F167" s="364"/>
    </row>
    <row r="168" spans="1:6" s="363" customFormat="1" ht="37.5" x14ac:dyDescent="0.3">
      <c r="A168" s="376"/>
      <c r="B168" s="387"/>
      <c r="C168" s="390" t="s">
        <v>804</v>
      </c>
      <c r="D168" s="389">
        <v>3000000</v>
      </c>
      <c r="F168" s="364"/>
    </row>
    <row r="169" spans="1:6" s="363" customFormat="1" x14ac:dyDescent="0.3">
      <c r="A169" s="376"/>
      <c r="B169" s="387"/>
      <c r="C169" s="390" t="s">
        <v>805</v>
      </c>
      <c r="D169" s="389">
        <v>3589799.899815388</v>
      </c>
      <c r="F169" s="364"/>
    </row>
    <row r="170" spans="1:6" s="363" customFormat="1" x14ac:dyDescent="0.3">
      <c r="A170" s="376"/>
      <c r="B170" s="387"/>
      <c r="C170" s="390" t="s">
        <v>806</v>
      </c>
      <c r="D170" s="389">
        <v>1500000</v>
      </c>
      <c r="F170" s="364"/>
    </row>
    <row r="171" spans="1:6" x14ac:dyDescent="0.3">
      <c r="A171" s="322" t="s">
        <v>3</v>
      </c>
      <c r="B171" s="322"/>
      <c r="C171" s="392" t="s">
        <v>807</v>
      </c>
      <c r="D171" s="393">
        <f>+'[8]03.4. Truyền thông'!D8/1000</f>
        <v>3410200</v>
      </c>
    </row>
  </sheetData>
  <mergeCells count="3">
    <mergeCell ref="A2:D2"/>
    <mergeCell ref="A3:D3"/>
    <mergeCell ref="C4:D4"/>
  </mergeCells>
  <pageMargins left="0.7" right="0.2" top="0.75" bottom="0.75" header="0.3" footer="0.3"/>
  <pageSetup paperSize="9" scale="105"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topLeftCell="A4" zoomScale="80" zoomScaleNormal="80" workbookViewId="0">
      <selection activeCell="A3" sqref="A3:P3"/>
    </sheetView>
  </sheetViews>
  <sheetFormatPr defaultRowHeight="16.5" x14ac:dyDescent="0.25"/>
  <cols>
    <col min="1" max="1" width="5.296875" style="33" customWidth="1"/>
    <col min="2" max="2" width="22.59765625" style="34" customWidth="1"/>
    <col min="3" max="3" width="6.59765625" style="47" customWidth="1"/>
    <col min="4" max="4" width="6.5" style="47" customWidth="1"/>
    <col min="5" max="5" width="6.09765625" style="2" customWidth="1"/>
    <col min="6" max="6" width="7" style="2" customWidth="1"/>
    <col min="7" max="7" width="5.796875" style="2" customWidth="1"/>
    <col min="8" max="8" width="6.69921875" style="2" customWidth="1"/>
    <col min="9" max="9" width="7" style="2" customWidth="1"/>
    <col min="10" max="16" width="13" style="50" customWidth="1"/>
    <col min="17" max="17" width="11.59765625" style="21" bestFit="1" customWidth="1"/>
    <col min="18" max="257" width="8.69921875" style="21"/>
    <col min="258" max="258" width="4.09765625" style="21" bestFit="1" customWidth="1"/>
    <col min="259" max="259" width="21.5" style="21" customWidth="1"/>
    <col min="260" max="260" width="8.5" style="21" customWidth="1"/>
    <col min="261" max="261" width="9" style="21" customWidth="1"/>
    <col min="262" max="262" width="10.09765625" style="21" customWidth="1"/>
    <col min="263" max="263" width="9.5" style="21" customWidth="1"/>
    <col min="264" max="264" width="8.5" style="21" customWidth="1"/>
    <col min="265" max="265" width="7.5" style="21" customWidth="1"/>
    <col min="266" max="266" width="7.19921875" style="21" customWidth="1"/>
    <col min="267" max="267" width="16.19921875" style="21" customWidth="1"/>
    <col min="268" max="268" width="16.59765625" style="21" customWidth="1"/>
    <col min="269" max="269" width="10.09765625" style="21" customWidth="1"/>
    <col min="270" max="270" width="16.09765625" style="21" customWidth="1"/>
    <col min="271" max="271" width="13.09765625" style="21" customWidth="1"/>
    <col min="272" max="272" width="14.5" style="21" customWidth="1"/>
    <col min="273" max="273" width="11.59765625" style="21" bestFit="1" customWidth="1"/>
    <col min="274" max="513" width="8.69921875" style="21"/>
    <col min="514" max="514" width="4.09765625" style="21" bestFit="1" customWidth="1"/>
    <col min="515" max="515" width="21.5" style="21" customWidth="1"/>
    <col min="516" max="516" width="8.5" style="21" customWidth="1"/>
    <col min="517" max="517" width="9" style="21" customWidth="1"/>
    <col min="518" max="518" width="10.09765625" style="21" customWidth="1"/>
    <col min="519" max="519" width="9.5" style="21" customWidth="1"/>
    <col min="520" max="520" width="8.5" style="21" customWidth="1"/>
    <col min="521" max="521" width="7.5" style="21" customWidth="1"/>
    <col min="522" max="522" width="7.19921875" style="21" customWidth="1"/>
    <col min="523" max="523" width="16.19921875" style="21" customWidth="1"/>
    <col min="524" max="524" width="16.59765625" style="21" customWidth="1"/>
    <col min="525" max="525" width="10.09765625" style="21" customWidth="1"/>
    <col min="526" max="526" width="16.09765625" style="21" customWidth="1"/>
    <col min="527" max="527" width="13.09765625" style="21" customWidth="1"/>
    <col min="528" max="528" width="14.5" style="21" customWidth="1"/>
    <col min="529" max="529" width="11.59765625" style="21" bestFit="1" customWidth="1"/>
    <col min="530" max="769" width="8.69921875" style="21"/>
    <col min="770" max="770" width="4.09765625" style="21" bestFit="1" customWidth="1"/>
    <col min="771" max="771" width="21.5" style="21" customWidth="1"/>
    <col min="772" max="772" width="8.5" style="21" customWidth="1"/>
    <col min="773" max="773" width="9" style="21" customWidth="1"/>
    <col min="774" max="774" width="10.09765625" style="21" customWidth="1"/>
    <col min="775" max="775" width="9.5" style="21" customWidth="1"/>
    <col min="776" max="776" width="8.5" style="21" customWidth="1"/>
    <col min="777" max="777" width="7.5" style="21" customWidth="1"/>
    <col min="778" max="778" width="7.19921875" style="21" customWidth="1"/>
    <col min="779" max="779" width="16.19921875" style="21" customWidth="1"/>
    <col min="780" max="780" width="16.59765625" style="21" customWidth="1"/>
    <col min="781" max="781" width="10.09765625" style="21" customWidth="1"/>
    <col min="782" max="782" width="16.09765625" style="21" customWidth="1"/>
    <col min="783" max="783" width="13.09765625" style="21" customWidth="1"/>
    <col min="784" max="784" width="14.5" style="21" customWidth="1"/>
    <col min="785" max="785" width="11.59765625" style="21" bestFit="1" customWidth="1"/>
    <col min="786" max="1025" width="8.69921875" style="21"/>
    <col min="1026" max="1026" width="4.09765625" style="21" bestFit="1" customWidth="1"/>
    <col min="1027" max="1027" width="21.5" style="21" customWidth="1"/>
    <col min="1028" max="1028" width="8.5" style="21" customWidth="1"/>
    <col min="1029" max="1029" width="9" style="21" customWidth="1"/>
    <col min="1030" max="1030" width="10.09765625" style="21" customWidth="1"/>
    <col min="1031" max="1031" width="9.5" style="21" customWidth="1"/>
    <col min="1032" max="1032" width="8.5" style="21" customWidth="1"/>
    <col min="1033" max="1033" width="7.5" style="21" customWidth="1"/>
    <col min="1034" max="1034" width="7.19921875" style="21" customWidth="1"/>
    <col min="1035" max="1035" width="16.19921875" style="21" customWidth="1"/>
    <col min="1036" max="1036" width="16.59765625" style="21" customWidth="1"/>
    <col min="1037" max="1037" width="10.09765625" style="21" customWidth="1"/>
    <col min="1038" max="1038" width="16.09765625" style="21" customWidth="1"/>
    <col min="1039" max="1039" width="13.09765625" style="21" customWidth="1"/>
    <col min="1040" max="1040" width="14.5" style="21" customWidth="1"/>
    <col min="1041" max="1041" width="11.59765625" style="21" bestFit="1" customWidth="1"/>
    <col min="1042" max="1281" width="8.69921875" style="21"/>
    <col min="1282" max="1282" width="4.09765625" style="21" bestFit="1" customWidth="1"/>
    <col min="1283" max="1283" width="21.5" style="21" customWidth="1"/>
    <col min="1284" max="1284" width="8.5" style="21" customWidth="1"/>
    <col min="1285" max="1285" width="9" style="21" customWidth="1"/>
    <col min="1286" max="1286" width="10.09765625" style="21" customWidth="1"/>
    <col min="1287" max="1287" width="9.5" style="21" customWidth="1"/>
    <col min="1288" max="1288" width="8.5" style="21" customWidth="1"/>
    <col min="1289" max="1289" width="7.5" style="21" customWidth="1"/>
    <col min="1290" max="1290" width="7.19921875" style="21" customWidth="1"/>
    <col min="1291" max="1291" width="16.19921875" style="21" customWidth="1"/>
    <col min="1292" max="1292" width="16.59765625" style="21" customWidth="1"/>
    <col min="1293" max="1293" width="10.09765625" style="21" customWidth="1"/>
    <col min="1294" max="1294" width="16.09765625" style="21" customWidth="1"/>
    <col min="1295" max="1295" width="13.09765625" style="21" customWidth="1"/>
    <col min="1296" max="1296" width="14.5" style="21" customWidth="1"/>
    <col min="1297" max="1297" width="11.59765625" style="21" bestFit="1" customWidth="1"/>
    <col min="1298" max="1537" width="8.69921875" style="21"/>
    <col min="1538" max="1538" width="4.09765625" style="21" bestFit="1" customWidth="1"/>
    <col min="1539" max="1539" width="21.5" style="21" customWidth="1"/>
    <col min="1540" max="1540" width="8.5" style="21" customWidth="1"/>
    <col min="1541" max="1541" width="9" style="21" customWidth="1"/>
    <col min="1542" max="1542" width="10.09765625" style="21" customWidth="1"/>
    <col min="1543" max="1543" width="9.5" style="21" customWidth="1"/>
    <col min="1544" max="1544" width="8.5" style="21" customWidth="1"/>
    <col min="1545" max="1545" width="7.5" style="21" customWidth="1"/>
    <col min="1546" max="1546" width="7.19921875" style="21" customWidth="1"/>
    <col min="1547" max="1547" width="16.19921875" style="21" customWidth="1"/>
    <col min="1548" max="1548" width="16.59765625" style="21" customWidth="1"/>
    <col min="1549" max="1549" width="10.09765625" style="21" customWidth="1"/>
    <col min="1550" max="1550" width="16.09765625" style="21" customWidth="1"/>
    <col min="1551" max="1551" width="13.09765625" style="21" customWidth="1"/>
    <col min="1552" max="1552" width="14.5" style="21" customWidth="1"/>
    <col min="1553" max="1553" width="11.59765625" style="21" bestFit="1" customWidth="1"/>
    <col min="1554" max="1793" width="8.69921875" style="21"/>
    <col min="1794" max="1794" width="4.09765625" style="21" bestFit="1" customWidth="1"/>
    <col min="1795" max="1795" width="21.5" style="21" customWidth="1"/>
    <col min="1796" max="1796" width="8.5" style="21" customWidth="1"/>
    <col min="1797" max="1797" width="9" style="21" customWidth="1"/>
    <col min="1798" max="1798" width="10.09765625" style="21" customWidth="1"/>
    <col min="1799" max="1799" width="9.5" style="21" customWidth="1"/>
    <col min="1800" max="1800" width="8.5" style="21" customWidth="1"/>
    <col min="1801" max="1801" width="7.5" style="21" customWidth="1"/>
    <col min="1802" max="1802" width="7.19921875" style="21" customWidth="1"/>
    <col min="1803" max="1803" width="16.19921875" style="21" customWidth="1"/>
    <col min="1804" max="1804" width="16.59765625" style="21" customWidth="1"/>
    <col min="1805" max="1805" width="10.09765625" style="21" customWidth="1"/>
    <col min="1806" max="1806" width="16.09765625" style="21" customWidth="1"/>
    <col min="1807" max="1807" width="13.09765625" style="21" customWidth="1"/>
    <col min="1808" max="1808" width="14.5" style="21" customWidth="1"/>
    <col min="1809" max="1809" width="11.59765625" style="21" bestFit="1" customWidth="1"/>
    <col min="1810" max="2049" width="8.69921875" style="21"/>
    <col min="2050" max="2050" width="4.09765625" style="21" bestFit="1" customWidth="1"/>
    <col min="2051" max="2051" width="21.5" style="21" customWidth="1"/>
    <col min="2052" max="2052" width="8.5" style="21" customWidth="1"/>
    <col min="2053" max="2053" width="9" style="21" customWidth="1"/>
    <col min="2054" max="2054" width="10.09765625" style="21" customWidth="1"/>
    <col min="2055" max="2055" width="9.5" style="21" customWidth="1"/>
    <col min="2056" max="2056" width="8.5" style="21" customWidth="1"/>
    <col min="2057" max="2057" width="7.5" style="21" customWidth="1"/>
    <col min="2058" max="2058" width="7.19921875" style="21" customWidth="1"/>
    <col min="2059" max="2059" width="16.19921875" style="21" customWidth="1"/>
    <col min="2060" max="2060" width="16.59765625" style="21" customWidth="1"/>
    <col min="2061" max="2061" width="10.09765625" style="21" customWidth="1"/>
    <col min="2062" max="2062" width="16.09765625" style="21" customWidth="1"/>
    <col min="2063" max="2063" width="13.09765625" style="21" customWidth="1"/>
    <col min="2064" max="2064" width="14.5" style="21" customWidth="1"/>
    <col min="2065" max="2065" width="11.59765625" style="21" bestFit="1" customWidth="1"/>
    <col min="2066" max="2305" width="8.69921875" style="21"/>
    <col min="2306" max="2306" width="4.09765625" style="21" bestFit="1" customWidth="1"/>
    <col min="2307" max="2307" width="21.5" style="21" customWidth="1"/>
    <col min="2308" max="2308" width="8.5" style="21" customWidth="1"/>
    <col min="2309" max="2309" width="9" style="21" customWidth="1"/>
    <col min="2310" max="2310" width="10.09765625" style="21" customWidth="1"/>
    <col min="2311" max="2311" width="9.5" style="21" customWidth="1"/>
    <col min="2312" max="2312" width="8.5" style="21" customWidth="1"/>
    <col min="2313" max="2313" width="7.5" style="21" customWidth="1"/>
    <col min="2314" max="2314" width="7.19921875" style="21" customWidth="1"/>
    <col min="2315" max="2315" width="16.19921875" style="21" customWidth="1"/>
    <col min="2316" max="2316" width="16.59765625" style="21" customWidth="1"/>
    <col min="2317" max="2317" width="10.09765625" style="21" customWidth="1"/>
    <col min="2318" max="2318" width="16.09765625" style="21" customWidth="1"/>
    <col min="2319" max="2319" width="13.09765625" style="21" customWidth="1"/>
    <col min="2320" max="2320" width="14.5" style="21" customWidth="1"/>
    <col min="2321" max="2321" width="11.59765625" style="21" bestFit="1" customWidth="1"/>
    <col min="2322" max="2561" width="8.69921875" style="21"/>
    <col min="2562" max="2562" width="4.09765625" style="21" bestFit="1" customWidth="1"/>
    <col min="2563" max="2563" width="21.5" style="21" customWidth="1"/>
    <col min="2564" max="2564" width="8.5" style="21" customWidth="1"/>
    <col min="2565" max="2565" width="9" style="21" customWidth="1"/>
    <col min="2566" max="2566" width="10.09765625" style="21" customWidth="1"/>
    <col min="2567" max="2567" width="9.5" style="21" customWidth="1"/>
    <col min="2568" max="2568" width="8.5" style="21" customWidth="1"/>
    <col min="2569" max="2569" width="7.5" style="21" customWidth="1"/>
    <col min="2570" max="2570" width="7.19921875" style="21" customWidth="1"/>
    <col min="2571" max="2571" width="16.19921875" style="21" customWidth="1"/>
    <col min="2572" max="2572" width="16.59765625" style="21" customWidth="1"/>
    <col min="2573" max="2573" width="10.09765625" style="21" customWidth="1"/>
    <col min="2574" max="2574" width="16.09765625" style="21" customWidth="1"/>
    <col min="2575" max="2575" width="13.09765625" style="21" customWidth="1"/>
    <col min="2576" max="2576" width="14.5" style="21" customWidth="1"/>
    <col min="2577" max="2577" width="11.59765625" style="21" bestFit="1" customWidth="1"/>
    <col min="2578" max="2817" width="8.69921875" style="21"/>
    <col min="2818" max="2818" width="4.09765625" style="21" bestFit="1" customWidth="1"/>
    <col min="2819" max="2819" width="21.5" style="21" customWidth="1"/>
    <col min="2820" max="2820" width="8.5" style="21" customWidth="1"/>
    <col min="2821" max="2821" width="9" style="21" customWidth="1"/>
    <col min="2822" max="2822" width="10.09765625" style="21" customWidth="1"/>
    <col min="2823" max="2823" width="9.5" style="21" customWidth="1"/>
    <col min="2824" max="2824" width="8.5" style="21" customWidth="1"/>
    <col min="2825" max="2825" width="7.5" style="21" customWidth="1"/>
    <col min="2826" max="2826" width="7.19921875" style="21" customWidth="1"/>
    <col min="2827" max="2827" width="16.19921875" style="21" customWidth="1"/>
    <col min="2828" max="2828" width="16.59765625" style="21" customWidth="1"/>
    <col min="2829" max="2829" width="10.09765625" style="21" customWidth="1"/>
    <col min="2830" max="2830" width="16.09765625" style="21" customWidth="1"/>
    <col min="2831" max="2831" width="13.09765625" style="21" customWidth="1"/>
    <col min="2832" max="2832" width="14.5" style="21" customWidth="1"/>
    <col min="2833" max="2833" width="11.59765625" style="21" bestFit="1" customWidth="1"/>
    <col min="2834" max="3073" width="8.69921875" style="21"/>
    <col min="3074" max="3074" width="4.09765625" style="21" bestFit="1" customWidth="1"/>
    <col min="3075" max="3075" width="21.5" style="21" customWidth="1"/>
    <col min="3076" max="3076" width="8.5" style="21" customWidth="1"/>
    <col min="3077" max="3077" width="9" style="21" customWidth="1"/>
    <col min="3078" max="3078" width="10.09765625" style="21" customWidth="1"/>
    <col min="3079" max="3079" width="9.5" style="21" customWidth="1"/>
    <col min="3080" max="3080" width="8.5" style="21" customWidth="1"/>
    <col min="3081" max="3081" width="7.5" style="21" customWidth="1"/>
    <col min="3082" max="3082" width="7.19921875" style="21" customWidth="1"/>
    <col min="3083" max="3083" width="16.19921875" style="21" customWidth="1"/>
    <col min="3084" max="3084" width="16.59765625" style="21" customWidth="1"/>
    <col min="3085" max="3085" width="10.09765625" style="21" customWidth="1"/>
    <col min="3086" max="3086" width="16.09765625" style="21" customWidth="1"/>
    <col min="3087" max="3087" width="13.09765625" style="21" customWidth="1"/>
    <col min="3088" max="3088" width="14.5" style="21" customWidth="1"/>
    <col min="3089" max="3089" width="11.59765625" style="21" bestFit="1" customWidth="1"/>
    <col min="3090" max="3329" width="8.69921875" style="21"/>
    <col min="3330" max="3330" width="4.09765625" style="21" bestFit="1" customWidth="1"/>
    <col min="3331" max="3331" width="21.5" style="21" customWidth="1"/>
    <col min="3332" max="3332" width="8.5" style="21" customWidth="1"/>
    <col min="3333" max="3333" width="9" style="21" customWidth="1"/>
    <col min="3334" max="3334" width="10.09765625" style="21" customWidth="1"/>
    <col min="3335" max="3335" width="9.5" style="21" customWidth="1"/>
    <col min="3336" max="3336" width="8.5" style="21" customWidth="1"/>
    <col min="3337" max="3337" width="7.5" style="21" customWidth="1"/>
    <col min="3338" max="3338" width="7.19921875" style="21" customWidth="1"/>
    <col min="3339" max="3339" width="16.19921875" style="21" customWidth="1"/>
    <col min="3340" max="3340" width="16.59765625" style="21" customWidth="1"/>
    <col min="3341" max="3341" width="10.09765625" style="21" customWidth="1"/>
    <col min="3342" max="3342" width="16.09765625" style="21" customWidth="1"/>
    <col min="3343" max="3343" width="13.09765625" style="21" customWidth="1"/>
    <col min="3344" max="3344" width="14.5" style="21" customWidth="1"/>
    <col min="3345" max="3345" width="11.59765625" style="21" bestFit="1" customWidth="1"/>
    <col min="3346" max="3585" width="8.69921875" style="21"/>
    <col min="3586" max="3586" width="4.09765625" style="21" bestFit="1" customWidth="1"/>
    <col min="3587" max="3587" width="21.5" style="21" customWidth="1"/>
    <col min="3588" max="3588" width="8.5" style="21" customWidth="1"/>
    <col min="3589" max="3589" width="9" style="21" customWidth="1"/>
    <col min="3590" max="3590" width="10.09765625" style="21" customWidth="1"/>
    <col min="3591" max="3591" width="9.5" style="21" customWidth="1"/>
    <col min="3592" max="3592" width="8.5" style="21" customWidth="1"/>
    <col min="3593" max="3593" width="7.5" style="21" customWidth="1"/>
    <col min="3594" max="3594" width="7.19921875" style="21" customWidth="1"/>
    <col min="3595" max="3595" width="16.19921875" style="21" customWidth="1"/>
    <col min="3596" max="3596" width="16.59765625" style="21" customWidth="1"/>
    <col min="3597" max="3597" width="10.09765625" style="21" customWidth="1"/>
    <col min="3598" max="3598" width="16.09765625" style="21" customWidth="1"/>
    <col min="3599" max="3599" width="13.09765625" style="21" customWidth="1"/>
    <col min="3600" max="3600" width="14.5" style="21" customWidth="1"/>
    <col min="3601" max="3601" width="11.59765625" style="21" bestFit="1" customWidth="1"/>
    <col min="3602" max="3841" width="8.69921875" style="21"/>
    <col min="3842" max="3842" width="4.09765625" style="21" bestFit="1" customWidth="1"/>
    <col min="3843" max="3843" width="21.5" style="21" customWidth="1"/>
    <col min="3844" max="3844" width="8.5" style="21" customWidth="1"/>
    <col min="3845" max="3845" width="9" style="21" customWidth="1"/>
    <col min="3846" max="3846" width="10.09765625" style="21" customWidth="1"/>
    <col min="3847" max="3847" width="9.5" style="21" customWidth="1"/>
    <col min="3848" max="3848" width="8.5" style="21" customWidth="1"/>
    <col min="3849" max="3849" width="7.5" style="21" customWidth="1"/>
    <col min="3850" max="3850" width="7.19921875" style="21" customWidth="1"/>
    <col min="3851" max="3851" width="16.19921875" style="21" customWidth="1"/>
    <col min="3852" max="3852" width="16.59765625" style="21" customWidth="1"/>
    <col min="3853" max="3853" width="10.09765625" style="21" customWidth="1"/>
    <col min="3854" max="3854" width="16.09765625" style="21" customWidth="1"/>
    <col min="3855" max="3855" width="13.09765625" style="21" customWidth="1"/>
    <col min="3856" max="3856" width="14.5" style="21" customWidth="1"/>
    <col min="3857" max="3857" width="11.59765625" style="21" bestFit="1" customWidth="1"/>
    <col min="3858" max="4097" width="8.69921875" style="21"/>
    <col min="4098" max="4098" width="4.09765625" style="21" bestFit="1" customWidth="1"/>
    <col min="4099" max="4099" width="21.5" style="21" customWidth="1"/>
    <col min="4100" max="4100" width="8.5" style="21" customWidth="1"/>
    <col min="4101" max="4101" width="9" style="21" customWidth="1"/>
    <col min="4102" max="4102" width="10.09765625" style="21" customWidth="1"/>
    <col min="4103" max="4103" width="9.5" style="21" customWidth="1"/>
    <col min="4104" max="4104" width="8.5" style="21" customWidth="1"/>
    <col min="4105" max="4105" width="7.5" style="21" customWidth="1"/>
    <col min="4106" max="4106" width="7.19921875" style="21" customWidth="1"/>
    <col min="4107" max="4107" width="16.19921875" style="21" customWidth="1"/>
    <col min="4108" max="4108" width="16.59765625" style="21" customWidth="1"/>
    <col min="4109" max="4109" width="10.09765625" style="21" customWidth="1"/>
    <col min="4110" max="4110" width="16.09765625" style="21" customWidth="1"/>
    <col min="4111" max="4111" width="13.09765625" style="21" customWidth="1"/>
    <col min="4112" max="4112" width="14.5" style="21" customWidth="1"/>
    <col min="4113" max="4113" width="11.59765625" style="21" bestFit="1" customWidth="1"/>
    <col min="4114" max="4353" width="8.69921875" style="21"/>
    <col min="4354" max="4354" width="4.09765625" style="21" bestFit="1" customWidth="1"/>
    <col min="4355" max="4355" width="21.5" style="21" customWidth="1"/>
    <col min="4356" max="4356" width="8.5" style="21" customWidth="1"/>
    <col min="4357" max="4357" width="9" style="21" customWidth="1"/>
    <col min="4358" max="4358" width="10.09765625" style="21" customWidth="1"/>
    <col min="4359" max="4359" width="9.5" style="21" customWidth="1"/>
    <col min="4360" max="4360" width="8.5" style="21" customWidth="1"/>
    <col min="4361" max="4361" width="7.5" style="21" customWidth="1"/>
    <col min="4362" max="4362" width="7.19921875" style="21" customWidth="1"/>
    <col min="4363" max="4363" width="16.19921875" style="21" customWidth="1"/>
    <col min="4364" max="4364" width="16.59765625" style="21" customWidth="1"/>
    <col min="4365" max="4365" width="10.09765625" style="21" customWidth="1"/>
    <col min="4366" max="4366" width="16.09765625" style="21" customWidth="1"/>
    <col min="4367" max="4367" width="13.09765625" style="21" customWidth="1"/>
    <col min="4368" max="4368" width="14.5" style="21" customWidth="1"/>
    <col min="4369" max="4369" width="11.59765625" style="21" bestFit="1" customWidth="1"/>
    <col min="4370" max="4609" width="8.69921875" style="21"/>
    <col min="4610" max="4610" width="4.09765625" style="21" bestFit="1" customWidth="1"/>
    <col min="4611" max="4611" width="21.5" style="21" customWidth="1"/>
    <col min="4612" max="4612" width="8.5" style="21" customWidth="1"/>
    <col min="4613" max="4613" width="9" style="21" customWidth="1"/>
    <col min="4614" max="4614" width="10.09765625" style="21" customWidth="1"/>
    <col min="4615" max="4615" width="9.5" style="21" customWidth="1"/>
    <col min="4616" max="4616" width="8.5" style="21" customWidth="1"/>
    <col min="4617" max="4617" width="7.5" style="21" customWidth="1"/>
    <col min="4618" max="4618" width="7.19921875" style="21" customWidth="1"/>
    <col min="4619" max="4619" width="16.19921875" style="21" customWidth="1"/>
    <col min="4620" max="4620" width="16.59765625" style="21" customWidth="1"/>
    <col min="4621" max="4621" width="10.09765625" style="21" customWidth="1"/>
    <col min="4622" max="4622" width="16.09765625" style="21" customWidth="1"/>
    <col min="4623" max="4623" width="13.09765625" style="21" customWidth="1"/>
    <col min="4624" max="4624" width="14.5" style="21" customWidth="1"/>
    <col min="4625" max="4625" width="11.59765625" style="21" bestFit="1" customWidth="1"/>
    <col min="4626" max="4865" width="8.69921875" style="21"/>
    <col min="4866" max="4866" width="4.09765625" style="21" bestFit="1" customWidth="1"/>
    <col min="4867" max="4867" width="21.5" style="21" customWidth="1"/>
    <col min="4868" max="4868" width="8.5" style="21" customWidth="1"/>
    <col min="4869" max="4869" width="9" style="21" customWidth="1"/>
    <col min="4870" max="4870" width="10.09765625" style="21" customWidth="1"/>
    <col min="4871" max="4871" width="9.5" style="21" customWidth="1"/>
    <col min="4872" max="4872" width="8.5" style="21" customWidth="1"/>
    <col min="4873" max="4873" width="7.5" style="21" customWidth="1"/>
    <col min="4874" max="4874" width="7.19921875" style="21" customWidth="1"/>
    <col min="4875" max="4875" width="16.19921875" style="21" customWidth="1"/>
    <col min="4876" max="4876" width="16.59765625" style="21" customWidth="1"/>
    <col min="4877" max="4877" width="10.09765625" style="21" customWidth="1"/>
    <col min="4878" max="4878" width="16.09765625" style="21" customWidth="1"/>
    <col min="4879" max="4879" width="13.09765625" style="21" customWidth="1"/>
    <col min="4880" max="4880" width="14.5" style="21" customWidth="1"/>
    <col min="4881" max="4881" width="11.59765625" style="21" bestFit="1" customWidth="1"/>
    <col min="4882" max="5121" width="8.69921875" style="21"/>
    <col min="5122" max="5122" width="4.09765625" style="21" bestFit="1" customWidth="1"/>
    <col min="5123" max="5123" width="21.5" style="21" customWidth="1"/>
    <col min="5124" max="5124" width="8.5" style="21" customWidth="1"/>
    <col min="5125" max="5125" width="9" style="21" customWidth="1"/>
    <col min="5126" max="5126" width="10.09765625" style="21" customWidth="1"/>
    <col min="5127" max="5127" width="9.5" style="21" customWidth="1"/>
    <col min="5128" max="5128" width="8.5" style="21" customWidth="1"/>
    <col min="5129" max="5129" width="7.5" style="21" customWidth="1"/>
    <col min="5130" max="5130" width="7.19921875" style="21" customWidth="1"/>
    <col min="5131" max="5131" width="16.19921875" style="21" customWidth="1"/>
    <col min="5132" max="5132" width="16.59765625" style="21" customWidth="1"/>
    <col min="5133" max="5133" width="10.09765625" style="21" customWidth="1"/>
    <col min="5134" max="5134" width="16.09765625" style="21" customWidth="1"/>
    <col min="5135" max="5135" width="13.09765625" style="21" customWidth="1"/>
    <col min="5136" max="5136" width="14.5" style="21" customWidth="1"/>
    <col min="5137" max="5137" width="11.59765625" style="21" bestFit="1" customWidth="1"/>
    <col min="5138" max="5377" width="8.69921875" style="21"/>
    <col min="5378" max="5378" width="4.09765625" style="21" bestFit="1" customWidth="1"/>
    <col min="5379" max="5379" width="21.5" style="21" customWidth="1"/>
    <col min="5380" max="5380" width="8.5" style="21" customWidth="1"/>
    <col min="5381" max="5381" width="9" style="21" customWidth="1"/>
    <col min="5382" max="5382" width="10.09765625" style="21" customWidth="1"/>
    <col min="5383" max="5383" width="9.5" style="21" customWidth="1"/>
    <col min="5384" max="5384" width="8.5" style="21" customWidth="1"/>
    <col min="5385" max="5385" width="7.5" style="21" customWidth="1"/>
    <col min="5386" max="5386" width="7.19921875" style="21" customWidth="1"/>
    <col min="5387" max="5387" width="16.19921875" style="21" customWidth="1"/>
    <col min="5388" max="5388" width="16.59765625" style="21" customWidth="1"/>
    <col min="5389" max="5389" width="10.09765625" style="21" customWidth="1"/>
    <col min="5390" max="5390" width="16.09765625" style="21" customWidth="1"/>
    <col min="5391" max="5391" width="13.09765625" style="21" customWidth="1"/>
    <col min="5392" max="5392" width="14.5" style="21" customWidth="1"/>
    <col min="5393" max="5393" width="11.59765625" style="21" bestFit="1" customWidth="1"/>
    <col min="5394" max="5633" width="8.69921875" style="21"/>
    <col min="5634" max="5634" width="4.09765625" style="21" bestFit="1" customWidth="1"/>
    <col min="5635" max="5635" width="21.5" style="21" customWidth="1"/>
    <col min="5636" max="5636" width="8.5" style="21" customWidth="1"/>
    <col min="5637" max="5637" width="9" style="21" customWidth="1"/>
    <col min="5638" max="5638" width="10.09765625" style="21" customWidth="1"/>
    <col min="5639" max="5639" width="9.5" style="21" customWidth="1"/>
    <col min="5640" max="5640" width="8.5" style="21" customWidth="1"/>
    <col min="5641" max="5641" width="7.5" style="21" customWidth="1"/>
    <col min="5642" max="5642" width="7.19921875" style="21" customWidth="1"/>
    <col min="5643" max="5643" width="16.19921875" style="21" customWidth="1"/>
    <col min="5644" max="5644" width="16.59765625" style="21" customWidth="1"/>
    <col min="5645" max="5645" width="10.09765625" style="21" customWidth="1"/>
    <col min="5646" max="5646" width="16.09765625" style="21" customWidth="1"/>
    <col min="5647" max="5647" width="13.09765625" style="21" customWidth="1"/>
    <col min="5648" max="5648" width="14.5" style="21" customWidth="1"/>
    <col min="5649" max="5649" width="11.59765625" style="21" bestFit="1" customWidth="1"/>
    <col min="5650" max="5889" width="8.69921875" style="21"/>
    <col min="5890" max="5890" width="4.09765625" style="21" bestFit="1" customWidth="1"/>
    <col min="5891" max="5891" width="21.5" style="21" customWidth="1"/>
    <col min="5892" max="5892" width="8.5" style="21" customWidth="1"/>
    <col min="5893" max="5893" width="9" style="21" customWidth="1"/>
    <col min="5894" max="5894" width="10.09765625" style="21" customWidth="1"/>
    <col min="5895" max="5895" width="9.5" style="21" customWidth="1"/>
    <col min="5896" max="5896" width="8.5" style="21" customWidth="1"/>
    <col min="5897" max="5897" width="7.5" style="21" customWidth="1"/>
    <col min="5898" max="5898" width="7.19921875" style="21" customWidth="1"/>
    <col min="5899" max="5899" width="16.19921875" style="21" customWidth="1"/>
    <col min="5900" max="5900" width="16.59765625" style="21" customWidth="1"/>
    <col min="5901" max="5901" width="10.09765625" style="21" customWidth="1"/>
    <col min="5902" max="5902" width="16.09765625" style="21" customWidth="1"/>
    <col min="5903" max="5903" width="13.09765625" style="21" customWidth="1"/>
    <col min="5904" max="5904" width="14.5" style="21" customWidth="1"/>
    <col min="5905" max="5905" width="11.59765625" style="21" bestFit="1" customWidth="1"/>
    <col min="5906" max="6145" width="8.69921875" style="21"/>
    <col min="6146" max="6146" width="4.09765625" style="21" bestFit="1" customWidth="1"/>
    <col min="6147" max="6147" width="21.5" style="21" customWidth="1"/>
    <col min="6148" max="6148" width="8.5" style="21" customWidth="1"/>
    <col min="6149" max="6149" width="9" style="21" customWidth="1"/>
    <col min="6150" max="6150" width="10.09765625" style="21" customWidth="1"/>
    <col min="6151" max="6151" width="9.5" style="21" customWidth="1"/>
    <col min="6152" max="6152" width="8.5" style="21" customWidth="1"/>
    <col min="6153" max="6153" width="7.5" style="21" customWidth="1"/>
    <col min="6154" max="6154" width="7.19921875" style="21" customWidth="1"/>
    <col min="6155" max="6155" width="16.19921875" style="21" customWidth="1"/>
    <col min="6156" max="6156" width="16.59765625" style="21" customWidth="1"/>
    <col min="6157" max="6157" width="10.09765625" style="21" customWidth="1"/>
    <col min="6158" max="6158" width="16.09765625" style="21" customWidth="1"/>
    <col min="6159" max="6159" width="13.09765625" style="21" customWidth="1"/>
    <col min="6160" max="6160" width="14.5" style="21" customWidth="1"/>
    <col min="6161" max="6161" width="11.59765625" style="21" bestFit="1" customWidth="1"/>
    <col min="6162" max="6401" width="8.69921875" style="21"/>
    <col min="6402" max="6402" width="4.09765625" style="21" bestFit="1" customWidth="1"/>
    <col min="6403" max="6403" width="21.5" style="21" customWidth="1"/>
    <col min="6404" max="6404" width="8.5" style="21" customWidth="1"/>
    <col min="6405" max="6405" width="9" style="21" customWidth="1"/>
    <col min="6406" max="6406" width="10.09765625" style="21" customWidth="1"/>
    <col min="6407" max="6407" width="9.5" style="21" customWidth="1"/>
    <col min="6408" max="6408" width="8.5" style="21" customWidth="1"/>
    <col min="6409" max="6409" width="7.5" style="21" customWidth="1"/>
    <col min="6410" max="6410" width="7.19921875" style="21" customWidth="1"/>
    <col min="6411" max="6411" width="16.19921875" style="21" customWidth="1"/>
    <col min="6412" max="6412" width="16.59765625" style="21" customWidth="1"/>
    <col min="6413" max="6413" width="10.09765625" style="21" customWidth="1"/>
    <col min="6414" max="6414" width="16.09765625" style="21" customWidth="1"/>
    <col min="6415" max="6415" width="13.09765625" style="21" customWidth="1"/>
    <col min="6416" max="6416" width="14.5" style="21" customWidth="1"/>
    <col min="6417" max="6417" width="11.59765625" style="21" bestFit="1" customWidth="1"/>
    <col min="6418" max="6657" width="8.69921875" style="21"/>
    <col min="6658" max="6658" width="4.09765625" style="21" bestFit="1" customWidth="1"/>
    <col min="6659" max="6659" width="21.5" style="21" customWidth="1"/>
    <col min="6660" max="6660" width="8.5" style="21" customWidth="1"/>
    <col min="6661" max="6661" width="9" style="21" customWidth="1"/>
    <col min="6662" max="6662" width="10.09765625" style="21" customWidth="1"/>
    <col min="6663" max="6663" width="9.5" style="21" customWidth="1"/>
    <col min="6664" max="6664" width="8.5" style="21" customWidth="1"/>
    <col min="6665" max="6665" width="7.5" style="21" customWidth="1"/>
    <col min="6666" max="6666" width="7.19921875" style="21" customWidth="1"/>
    <col min="6667" max="6667" width="16.19921875" style="21" customWidth="1"/>
    <col min="6668" max="6668" width="16.59765625" style="21" customWidth="1"/>
    <col min="6669" max="6669" width="10.09765625" style="21" customWidth="1"/>
    <col min="6670" max="6670" width="16.09765625" style="21" customWidth="1"/>
    <col min="6671" max="6671" width="13.09765625" style="21" customWidth="1"/>
    <col min="6672" max="6672" width="14.5" style="21" customWidth="1"/>
    <col min="6673" max="6673" width="11.59765625" style="21" bestFit="1" customWidth="1"/>
    <col min="6674" max="6913" width="8.69921875" style="21"/>
    <col min="6914" max="6914" width="4.09765625" style="21" bestFit="1" customWidth="1"/>
    <col min="6915" max="6915" width="21.5" style="21" customWidth="1"/>
    <col min="6916" max="6916" width="8.5" style="21" customWidth="1"/>
    <col min="6917" max="6917" width="9" style="21" customWidth="1"/>
    <col min="6918" max="6918" width="10.09765625" style="21" customWidth="1"/>
    <col min="6919" max="6919" width="9.5" style="21" customWidth="1"/>
    <col min="6920" max="6920" width="8.5" style="21" customWidth="1"/>
    <col min="6921" max="6921" width="7.5" style="21" customWidth="1"/>
    <col min="6922" max="6922" width="7.19921875" style="21" customWidth="1"/>
    <col min="6923" max="6923" width="16.19921875" style="21" customWidth="1"/>
    <col min="6924" max="6924" width="16.59765625" style="21" customWidth="1"/>
    <col min="6925" max="6925" width="10.09765625" style="21" customWidth="1"/>
    <col min="6926" max="6926" width="16.09765625" style="21" customWidth="1"/>
    <col min="6927" max="6927" width="13.09765625" style="21" customWidth="1"/>
    <col min="6928" max="6928" width="14.5" style="21" customWidth="1"/>
    <col min="6929" max="6929" width="11.59765625" style="21" bestFit="1" customWidth="1"/>
    <col min="6930" max="7169" width="8.69921875" style="21"/>
    <col min="7170" max="7170" width="4.09765625" style="21" bestFit="1" customWidth="1"/>
    <col min="7171" max="7171" width="21.5" style="21" customWidth="1"/>
    <col min="7172" max="7172" width="8.5" style="21" customWidth="1"/>
    <col min="7173" max="7173" width="9" style="21" customWidth="1"/>
    <col min="7174" max="7174" width="10.09765625" style="21" customWidth="1"/>
    <col min="7175" max="7175" width="9.5" style="21" customWidth="1"/>
    <col min="7176" max="7176" width="8.5" style="21" customWidth="1"/>
    <col min="7177" max="7177" width="7.5" style="21" customWidth="1"/>
    <col min="7178" max="7178" width="7.19921875" style="21" customWidth="1"/>
    <col min="7179" max="7179" width="16.19921875" style="21" customWidth="1"/>
    <col min="7180" max="7180" width="16.59765625" style="21" customWidth="1"/>
    <col min="7181" max="7181" width="10.09765625" style="21" customWidth="1"/>
    <col min="7182" max="7182" width="16.09765625" style="21" customWidth="1"/>
    <col min="7183" max="7183" width="13.09765625" style="21" customWidth="1"/>
    <col min="7184" max="7184" width="14.5" style="21" customWidth="1"/>
    <col min="7185" max="7185" width="11.59765625" style="21" bestFit="1" customWidth="1"/>
    <col min="7186" max="7425" width="8.69921875" style="21"/>
    <col min="7426" max="7426" width="4.09765625" style="21" bestFit="1" customWidth="1"/>
    <col min="7427" max="7427" width="21.5" style="21" customWidth="1"/>
    <col min="7428" max="7428" width="8.5" style="21" customWidth="1"/>
    <col min="7429" max="7429" width="9" style="21" customWidth="1"/>
    <col min="7430" max="7430" width="10.09765625" style="21" customWidth="1"/>
    <col min="7431" max="7431" width="9.5" style="21" customWidth="1"/>
    <col min="7432" max="7432" width="8.5" style="21" customWidth="1"/>
    <col min="7433" max="7433" width="7.5" style="21" customWidth="1"/>
    <col min="7434" max="7434" width="7.19921875" style="21" customWidth="1"/>
    <col min="7435" max="7435" width="16.19921875" style="21" customWidth="1"/>
    <col min="7436" max="7436" width="16.59765625" style="21" customWidth="1"/>
    <col min="7437" max="7437" width="10.09765625" style="21" customWidth="1"/>
    <col min="7438" max="7438" width="16.09765625" style="21" customWidth="1"/>
    <col min="7439" max="7439" width="13.09765625" style="21" customWidth="1"/>
    <col min="7440" max="7440" width="14.5" style="21" customWidth="1"/>
    <col min="7441" max="7441" width="11.59765625" style="21" bestFit="1" customWidth="1"/>
    <col min="7442" max="7681" width="8.69921875" style="21"/>
    <col min="7682" max="7682" width="4.09765625" style="21" bestFit="1" customWidth="1"/>
    <col min="7683" max="7683" width="21.5" style="21" customWidth="1"/>
    <col min="7684" max="7684" width="8.5" style="21" customWidth="1"/>
    <col min="7685" max="7685" width="9" style="21" customWidth="1"/>
    <col min="7686" max="7686" width="10.09765625" style="21" customWidth="1"/>
    <col min="7687" max="7687" width="9.5" style="21" customWidth="1"/>
    <col min="7688" max="7688" width="8.5" style="21" customWidth="1"/>
    <col min="7689" max="7689" width="7.5" style="21" customWidth="1"/>
    <col min="7690" max="7690" width="7.19921875" style="21" customWidth="1"/>
    <col min="7691" max="7691" width="16.19921875" style="21" customWidth="1"/>
    <col min="7692" max="7692" width="16.59765625" style="21" customWidth="1"/>
    <col min="7693" max="7693" width="10.09765625" style="21" customWidth="1"/>
    <col min="7694" max="7694" width="16.09765625" style="21" customWidth="1"/>
    <col min="7695" max="7695" width="13.09765625" style="21" customWidth="1"/>
    <col min="7696" max="7696" width="14.5" style="21" customWidth="1"/>
    <col min="7697" max="7697" width="11.59765625" style="21" bestFit="1" customWidth="1"/>
    <col min="7698" max="7937" width="8.69921875" style="21"/>
    <col min="7938" max="7938" width="4.09765625" style="21" bestFit="1" customWidth="1"/>
    <col min="7939" max="7939" width="21.5" style="21" customWidth="1"/>
    <col min="7940" max="7940" width="8.5" style="21" customWidth="1"/>
    <col min="7941" max="7941" width="9" style="21" customWidth="1"/>
    <col min="7942" max="7942" width="10.09765625" style="21" customWidth="1"/>
    <col min="7943" max="7943" width="9.5" style="21" customWidth="1"/>
    <col min="7944" max="7944" width="8.5" style="21" customWidth="1"/>
    <col min="7945" max="7945" width="7.5" style="21" customWidth="1"/>
    <col min="7946" max="7946" width="7.19921875" style="21" customWidth="1"/>
    <col min="7947" max="7947" width="16.19921875" style="21" customWidth="1"/>
    <col min="7948" max="7948" width="16.59765625" style="21" customWidth="1"/>
    <col min="7949" max="7949" width="10.09765625" style="21" customWidth="1"/>
    <col min="7950" max="7950" width="16.09765625" style="21" customWidth="1"/>
    <col min="7951" max="7951" width="13.09765625" style="21" customWidth="1"/>
    <col min="7952" max="7952" width="14.5" style="21" customWidth="1"/>
    <col min="7953" max="7953" width="11.59765625" style="21" bestFit="1" customWidth="1"/>
    <col min="7954" max="8193" width="8.69921875" style="21"/>
    <col min="8194" max="8194" width="4.09765625" style="21" bestFit="1" customWidth="1"/>
    <col min="8195" max="8195" width="21.5" style="21" customWidth="1"/>
    <col min="8196" max="8196" width="8.5" style="21" customWidth="1"/>
    <col min="8197" max="8197" width="9" style="21" customWidth="1"/>
    <col min="8198" max="8198" width="10.09765625" style="21" customWidth="1"/>
    <col min="8199" max="8199" width="9.5" style="21" customWidth="1"/>
    <col min="8200" max="8200" width="8.5" style="21" customWidth="1"/>
    <col min="8201" max="8201" width="7.5" style="21" customWidth="1"/>
    <col min="8202" max="8202" width="7.19921875" style="21" customWidth="1"/>
    <col min="8203" max="8203" width="16.19921875" style="21" customWidth="1"/>
    <col min="8204" max="8204" width="16.59765625" style="21" customWidth="1"/>
    <col min="8205" max="8205" width="10.09765625" style="21" customWidth="1"/>
    <col min="8206" max="8206" width="16.09765625" style="21" customWidth="1"/>
    <col min="8207" max="8207" width="13.09765625" style="21" customWidth="1"/>
    <col min="8208" max="8208" width="14.5" style="21" customWidth="1"/>
    <col min="8209" max="8209" width="11.59765625" style="21" bestFit="1" customWidth="1"/>
    <col min="8210" max="8449" width="8.69921875" style="21"/>
    <col min="8450" max="8450" width="4.09765625" style="21" bestFit="1" customWidth="1"/>
    <col min="8451" max="8451" width="21.5" style="21" customWidth="1"/>
    <col min="8452" max="8452" width="8.5" style="21" customWidth="1"/>
    <col min="8453" max="8453" width="9" style="21" customWidth="1"/>
    <col min="8454" max="8454" width="10.09765625" style="21" customWidth="1"/>
    <col min="8455" max="8455" width="9.5" style="21" customWidth="1"/>
    <col min="8456" max="8456" width="8.5" style="21" customWidth="1"/>
    <col min="8457" max="8457" width="7.5" style="21" customWidth="1"/>
    <col min="8458" max="8458" width="7.19921875" style="21" customWidth="1"/>
    <col min="8459" max="8459" width="16.19921875" style="21" customWidth="1"/>
    <col min="8460" max="8460" width="16.59765625" style="21" customWidth="1"/>
    <col min="8461" max="8461" width="10.09765625" style="21" customWidth="1"/>
    <col min="8462" max="8462" width="16.09765625" style="21" customWidth="1"/>
    <col min="8463" max="8463" width="13.09765625" style="21" customWidth="1"/>
    <col min="8464" max="8464" width="14.5" style="21" customWidth="1"/>
    <col min="8465" max="8465" width="11.59765625" style="21" bestFit="1" customWidth="1"/>
    <col min="8466" max="8705" width="8.69921875" style="21"/>
    <col min="8706" max="8706" width="4.09765625" style="21" bestFit="1" customWidth="1"/>
    <col min="8707" max="8707" width="21.5" style="21" customWidth="1"/>
    <col min="8708" max="8708" width="8.5" style="21" customWidth="1"/>
    <col min="8709" max="8709" width="9" style="21" customWidth="1"/>
    <col min="8710" max="8710" width="10.09765625" style="21" customWidth="1"/>
    <col min="8711" max="8711" width="9.5" style="21" customWidth="1"/>
    <col min="8712" max="8712" width="8.5" style="21" customWidth="1"/>
    <col min="8713" max="8713" width="7.5" style="21" customWidth="1"/>
    <col min="8714" max="8714" width="7.19921875" style="21" customWidth="1"/>
    <col min="8715" max="8715" width="16.19921875" style="21" customWidth="1"/>
    <col min="8716" max="8716" width="16.59765625" style="21" customWidth="1"/>
    <col min="8717" max="8717" width="10.09765625" style="21" customWidth="1"/>
    <col min="8718" max="8718" width="16.09765625" style="21" customWidth="1"/>
    <col min="8719" max="8719" width="13.09765625" style="21" customWidth="1"/>
    <col min="8720" max="8720" width="14.5" style="21" customWidth="1"/>
    <col min="8721" max="8721" width="11.59765625" style="21" bestFit="1" customWidth="1"/>
    <col min="8722" max="8961" width="8.69921875" style="21"/>
    <col min="8962" max="8962" width="4.09765625" style="21" bestFit="1" customWidth="1"/>
    <col min="8963" max="8963" width="21.5" style="21" customWidth="1"/>
    <col min="8964" max="8964" width="8.5" style="21" customWidth="1"/>
    <col min="8965" max="8965" width="9" style="21" customWidth="1"/>
    <col min="8966" max="8966" width="10.09765625" style="21" customWidth="1"/>
    <col min="8967" max="8967" width="9.5" style="21" customWidth="1"/>
    <col min="8968" max="8968" width="8.5" style="21" customWidth="1"/>
    <col min="8969" max="8969" width="7.5" style="21" customWidth="1"/>
    <col min="8970" max="8970" width="7.19921875" style="21" customWidth="1"/>
    <col min="8971" max="8971" width="16.19921875" style="21" customWidth="1"/>
    <col min="8972" max="8972" width="16.59765625" style="21" customWidth="1"/>
    <col min="8973" max="8973" width="10.09765625" style="21" customWidth="1"/>
    <col min="8974" max="8974" width="16.09765625" style="21" customWidth="1"/>
    <col min="8975" max="8975" width="13.09765625" style="21" customWidth="1"/>
    <col min="8976" max="8976" width="14.5" style="21" customWidth="1"/>
    <col min="8977" max="8977" width="11.59765625" style="21" bestFit="1" customWidth="1"/>
    <col min="8978" max="9217" width="8.69921875" style="21"/>
    <col min="9218" max="9218" width="4.09765625" style="21" bestFit="1" customWidth="1"/>
    <col min="9219" max="9219" width="21.5" style="21" customWidth="1"/>
    <col min="9220" max="9220" width="8.5" style="21" customWidth="1"/>
    <col min="9221" max="9221" width="9" style="21" customWidth="1"/>
    <col min="9222" max="9222" width="10.09765625" style="21" customWidth="1"/>
    <col min="9223" max="9223" width="9.5" style="21" customWidth="1"/>
    <col min="9224" max="9224" width="8.5" style="21" customWidth="1"/>
    <col min="9225" max="9225" width="7.5" style="21" customWidth="1"/>
    <col min="9226" max="9226" width="7.19921875" style="21" customWidth="1"/>
    <col min="9227" max="9227" width="16.19921875" style="21" customWidth="1"/>
    <col min="9228" max="9228" width="16.59765625" style="21" customWidth="1"/>
    <col min="9229" max="9229" width="10.09765625" style="21" customWidth="1"/>
    <col min="9230" max="9230" width="16.09765625" style="21" customWidth="1"/>
    <col min="9231" max="9231" width="13.09765625" style="21" customWidth="1"/>
    <col min="9232" max="9232" width="14.5" style="21" customWidth="1"/>
    <col min="9233" max="9233" width="11.59765625" style="21" bestFit="1" customWidth="1"/>
    <col min="9234" max="9473" width="8.69921875" style="21"/>
    <col min="9474" max="9474" width="4.09765625" style="21" bestFit="1" customWidth="1"/>
    <col min="9475" max="9475" width="21.5" style="21" customWidth="1"/>
    <col min="9476" max="9476" width="8.5" style="21" customWidth="1"/>
    <col min="9477" max="9477" width="9" style="21" customWidth="1"/>
    <col min="9478" max="9478" width="10.09765625" style="21" customWidth="1"/>
    <col min="9479" max="9479" width="9.5" style="21" customWidth="1"/>
    <col min="9480" max="9480" width="8.5" style="21" customWidth="1"/>
    <col min="9481" max="9481" width="7.5" style="21" customWidth="1"/>
    <col min="9482" max="9482" width="7.19921875" style="21" customWidth="1"/>
    <col min="9483" max="9483" width="16.19921875" style="21" customWidth="1"/>
    <col min="9484" max="9484" width="16.59765625" style="21" customWidth="1"/>
    <col min="9485" max="9485" width="10.09765625" style="21" customWidth="1"/>
    <col min="9486" max="9486" width="16.09765625" style="21" customWidth="1"/>
    <col min="9487" max="9487" width="13.09765625" style="21" customWidth="1"/>
    <col min="9488" max="9488" width="14.5" style="21" customWidth="1"/>
    <col min="9489" max="9489" width="11.59765625" style="21" bestFit="1" customWidth="1"/>
    <col min="9490" max="9729" width="8.69921875" style="21"/>
    <col min="9730" max="9730" width="4.09765625" style="21" bestFit="1" customWidth="1"/>
    <col min="9731" max="9731" width="21.5" style="21" customWidth="1"/>
    <col min="9732" max="9732" width="8.5" style="21" customWidth="1"/>
    <col min="9733" max="9733" width="9" style="21" customWidth="1"/>
    <col min="9734" max="9734" width="10.09765625" style="21" customWidth="1"/>
    <col min="9735" max="9735" width="9.5" style="21" customWidth="1"/>
    <col min="9736" max="9736" width="8.5" style="21" customWidth="1"/>
    <col min="9737" max="9737" width="7.5" style="21" customWidth="1"/>
    <col min="9738" max="9738" width="7.19921875" style="21" customWidth="1"/>
    <col min="9739" max="9739" width="16.19921875" style="21" customWidth="1"/>
    <col min="9740" max="9740" width="16.59765625" style="21" customWidth="1"/>
    <col min="9741" max="9741" width="10.09765625" style="21" customWidth="1"/>
    <col min="9742" max="9742" width="16.09765625" style="21" customWidth="1"/>
    <col min="9743" max="9743" width="13.09765625" style="21" customWidth="1"/>
    <col min="9744" max="9744" width="14.5" style="21" customWidth="1"/>
    <col min="9745" max="9745" width="11.59765625" style="21" bestFit="1" customWidth="1"/>
    <col min="9746" max="9985" width="8.69921875" style="21"/>
    <col min="9986" max="9986" width="4.09765625" style="21" bestFit="1" customWidth="1"/>
    <col min="9987" max="9987" width="21.5" style="21" customWidth="1"/>
    <col min="9988" max="9988" width="8.5" style="21" customWidth="1"/>
    <col min="9989" max="9989" width="9" style="21" customWidth="1"/>
    <col min="9990" max="9990" width="10.09765625" style="21" customWidth="1"/>
    <col min="9991" max="9991" width="9.5" style="21" customWidth="1"/>
    <col min="9992" max="9992" width="8.5" style="21" customWidth="1"/>
    <col min="9993" max="9993" width="7.5" style="21" customWidth="1"/>
    <col min="9994" max="9994" width="7.19921875" style="21" customWidth="1"/>
    <col min="9995" max="9995" width="16.19921875" style="21" customWidth="1"/>
    <col min="9996" max="9996" width="16.59765625" style="21" customWidth="1"/>
    <col min="9997" max="9997" width="10.09765625" style="21" customWidth="1"/>
    <col min="9998" max="9998" width="16.09765625" style="21" customWidth="1"/>
    <col min="9999" max="9999" width="13.09765625" style="21" customWidth="1"/>
    <col min="10000" max="10000" width="14.5" style="21" customWidth="1"/>
    <col min="10001" max="10001" width="11.59765625" style="21" bestFit="1" customWidth="1"/>
    <col min="10002" max="10241" width="8.69921875" style="21"/>
    <col min="10242" max="10242" width="4.09765625" style="21" bestFit="1" customWidth="1"/>
    <col min="10243" max="10243" width="21.5" style="21" customWidth="1"/>
    <col min="10244" max="10244" width="8.5" style="21" customWidth="1"/>
    <col min="10245" max="10245" width="9" style="21" customWidth="1"/>
    <col min="10246" max="10246" width="10.09765625" style="21" customWidth="1"/>
    <col min="10247" max="10247" width="9.5" style="21" customWidth="1"/>
    <col min="10248" max="10248" width="8.5" style="21" customWidth="1"/>
    <col min="10249" max="10249" width="7.5" style="21" customWidth="1"/>
    <col min="10250" max="10250" width="7.19921875" style="21" customWidth="1"/>
    <col min="10251" max="10251" width="16.19921875" style="21" customWidth="1"/>
    <col min="10252" max="10252" width="16.59765625" style="21" customWidth="1"/>
    <col min="10253" max="10253" width="10.09765625" style="21" customWidth="1"/>
    <col min="10254" max="10254" width="16.09765625" style="21" customWidth="1"/>
    <col min="10255" max="10255" width="13.09765625" style="21" customWidth="1"/>
    <col min="10256" max="10256" width="14.5" style="21" customWidth="1"/>
    <col min="10257" max="10257" width="11.59765625" style="21" bestFit="1" customWidth="1"/>
    <col min="10258" max="10497" width="8.69921875" style="21"/>
    <col min="10498" max="10498" width="4.09765625" style="21" bestFit="1" customWidth="1"/>
    <col min="10499" max="10499" width="21.5" style="21" customWidth="1"/>
    <col min="10500" max="10500" width="8.5" style="21" customWidth="1"/>
    <col min="10501" max="10501" width="9" style="21" customWidth="1"/>
    <col min="10502" max="10502" width="10.09765625" style="21" customWidth="1"/>
    <col min="10503" max="10503" width="9.5" style="21" customWidth="1"/>
    <col min="10504" max="10504" width="8.5" style="21" customWidth="1"/>
    <col min="10505" max="10505" width="7.5" style="21" customWidth="1"/>
    <col min="10506" max="10506" width="7.19921875" style="21" customWidth="1"/>
    <col min="10507" max="10507" width="16.19921875" style="21" customWidth="1"/>
    <col min="10508" max="10508" width="16.59765625" style="21" customWidth="1"/>
    <col min="10509" max="10509" width="10.09765625" style="21" customWidth="1"/>
    <col min="10510" max="10510" width="16.09765625" style="21" customWidth="1"/>
    <col min="10511" max="10511" width="13.09765625" style="21" customWidth="1"/>
    <col min="10512" max="10512" width="14.5" style="21" customWidth="1"/>
    <col min="10513" max="10513" width="11.59765625" style="21" bestFit="1" customWidth="1"/>
    <col min="10514" max="10753" width="8.69921875" style="21"/>
    <col min="10754" max="10754" width="4.09765625" style="21" bestFit="1" customWidth="1"/>
    <col min="10755" max="10755" width="21.5" style="21" customWidth="1"/>
    <col min="10756" max="10756" width="8.5" style="21" customWidth="1"/>
    <col min="10757" max="10757" width="9" style="21" customWidth="1"/>
    <col min="10758" max="10758" width="10.09765625" style="21" customWidth="1"/>
    <col min="10759" max="10759" width="9.5" style="21" customWidth="1"/>
    <col min="10760" max="10760" width="8.5" style="21" customWidth="1"/>
    <col min="10761" max="10761" width="7.5" style="21" customWidth="1"/>
    <col min="10762" max="10762" width="7.19921875" style="21" customWidth="1"/>
    <col min="10763" max="10763" width="16.19921875" style="21" customWidth="1"/>
    <col min="10764" max="10764" width="16.59765625" style="21" customWidth="1"/>
    <col min="10765" max="10765" width="10.09765625" style="21" customWidth="1"/>
    <col min="10766" max="10766" width="16.09765625" style="21" customWidth="1"/>
    <col min="10767" max="10767" width="13.09765625" style="21" customWidth="1"/>
    <col min="10768" max="10768" width="14.5" style="21" customWidth="1"/>
    <col min="10769" max="10769" width="11.59765625" style="21" bestFit="1" customWidth="1"/>
    <col min="10770" max="11009" width="8.69921875" style="21"/>
    <col min="11010" max="11010" width="4.09765625" style="21" bestFit="1" customWidth="1"/>
    <col min="11011" max="11011" width="21.5" style="21" customWidth="1"/>
    <col min="11012" max="11012" width="8.5" style="21" customWidth="1"/>
    <col min="11013" max="11013" width="9" style="21" customWidth="1"/>
    <col min="11014" max="11014" width="10.09765625" style="21" customWidth="1"/>
    <col min="11015" max="11015" width="9.5" style="21" customWidth="1"/>
    <col min="11016" max="11016" width="8.5" style="21" customWidth="1"/>
    <col min="11017" max="11017" width="7.5" style="21" customWidth="1"/>
    <col min="11018" max="11018" width="7.19921875" style="21" customWidth="1"/>
    <col min="11019" max="11019" width="16.19921875" style="21" customWidth="1"/>
    <col min="11020" max="11020" width="16.59765625" style="21" customWidth="1"/>
    <col min="11021" max="11021" width="10.09765625" style="21" customWidth="1"/>
    <col min="11022" max="11022" width="16.09765625" style="21" customWidth="1"/>
    <col min="11023" max="11023" width="13.09765625" style="21" customWidth="1"/>
    <col min="11024" max="11024" width="14.5" style="21" customWidth="1"/>
    <col min="11025" max="11025" width="11.59765625" style="21" bestFit="1" customWidth="1"/>
    <col min="11026" max="11265" width="8.69921875" style="21"/>
    <col min="11266" max="11266" width="4.09765625" style="21" bestFit="1" customWidth="1"/>
    <col min="11267" max="11267" width="21.5" style="21" customWidth="1"/>
    <col min="11268" max="11268" width="8.5" style="21" customWidth="1"/>
    <col min="11269" max="11269" width="9" style="21" customWidth="1"/>
    <col min="11270" max="11270" width="10.09765625" style="21" customWidth="1"/>
    <col min="11271" max="11271" width="9.5" style="21" customWidth="1"/>
    <col min="11272" max="11272" width="8.5" style="21" customWidth="1"/>
    <col min="11273" max="11273" width="7.5" style="21" customWidth="1"/>
    <col min="11274" max="11274" width="7.19921875" style="21" customWidth="1"/>
    <col min="11275" max="11275" width="16.19921875" style="21" customWidth="1"/>
    <col min="11276" max="11276" width="16.59765625" style="21" customWidth="1"/>
    <col min="11277" max="11277" width="10.09765625" style="21" customWidth="1"/>
    <col min="11278" max="11278" width="16.09765625" style="21" customWidth="1"/>
    <col min="11279" max="11279" width="13.09765625" style="21" customWidth="1"/>
    <col min="11280" max="11280" width="14.5" style="21" customWidth="1"/>
    <col min="11281" max="11281" width="11.59765625" style="21" bestFit="1" customWidth="1"/>
    <col min="11282" max="11521" width="8.69921875" style="21"/>
    <col min="11522" max="11522" width="4.09765625" style="21" bestFit="1" customWidth="1"/>
    <col min="11523" max="11523" width="21.5" style="21" customWidth="1"/>
    <col min="11524" max="11524" width="8.5" style="21" customWidth="1"/>
    <col min="11525" max="11525" width="9" style="21" customWidth="1"/>
    <col min="11526" max="11526" width="10.09765625" style="21" customWidth="1"/>
    <col min="11527" max="11527" width="9.5" style="21" customWidth="1"/>
    <col min="11528" max="11528" width="8.5" style="21" customWidth="1"/>
    <col min="11529" max="11529" width="7.5" style="21" customWidth="1"/>
    <col min="11530" max="11530" width="7.19921875" style="21" customWidth="1"/>
    <col min="11531" max="11531" width="16.19921875" style="21" customWidth="1"/>
    <col min="11532" max="11532" width="16.59765625" style="21" customWidth="1"/>
    <col min="11533" max="11533" width="10.09765625" style="21" customWidth="1"/>
    <col min="11534" max="11534" width="16.09765625" style="21" customWidth="1"/>
    <col min="11535" max="11535" width="13.09765625" style="21" customWidth="1"/>
    <col min="11536" max="11536" width="14.5" style="21" customWidth="1"/>
    <col min="11537" max="11537" width="11.59765625" style="21" bestFit="1" customWidth="1"/>
    <col min="11538" max="11777" width="8.69921875" style="21"/>
    <col min="11778" max="11778" width="4.09765625" style="21" bestFit="1" customWidth="1"/>
    <col min="11779" max="11779" width="21.5" style="21" customWidth="1"/>
    <col min="11780" max="11780" width="8.5" style="21" customWidth="1"/>
    <col min="11781" max="11781" width="9" style="21" customWidth="1"/>
    <col min="11782" max="11782" width="10.09765625" style="21" customWidth="1"/>
    <col min="11783" max="11783" width="9.5" style="21" customWidth="1"/>
    <col min="11784" max="11784" width="8.5" style="21" customWidth="1"/>
    <col min="11785" max="11785" width="7.5" style="21" customWidth="1"/>
    <col min="11786" max="11786" width="7.19921875" style="21" customWidth="1"/>
    <col min="11787" max="11787" width="16.19921875" style="21" customWidth="1"/>
    <col min="11788" max="11788" width="16.59765625" style="21" customWidth="1"/>
    <col min="11789" max="11789" width="10.09765625" style="21" customWidth="1"/>
    <col min="11790" max="11790" width="16.09765625" style="21" customWidth="1"/>
    <col min="11791" max="11791" width="13.09765625" style="21" customWidth="1"/>
    <col min="11792" max="11792" width="14.5" style="21" customWidth="1"/>
    <col min="11793" max="11793" width="11.59765625" style="21" bestFit="1" customWidth="1"/>
    <col min="11794" max="12033" width="8.69921875" style="21"/>
    <col min="12034" max="12034" width="4.09765625" style="21" bestFit="1" customWidth="1"/>
    <col min="12035" max="12035" width="21.5" style="21" customWidth="1"/>
    <col min="12036" max="12036" width="8.5" style="21" customWidth="1"/>
    <col min="12037" max="12037" width="9" style="21" customWidth="1"/>
    <col min="12038" max="12038" width="10.09765625" style="21" customWidth="1"/>
    <col min="12039" max="12039" width="9.5" style="21" customWidth="1"/>
    <col min="12040" max="12040" width="8.5" style="21" customWidth="1"/>
    <col min="12041" max="12041" width="7.5" style="21" customWidth="1"/>
    <col min="12042" max="12042" width="7.19921875" style="21" customWidth="1"/>
    <col min="12043" max="12043" width="16.19921875" style="21" customWidth="1"/>
    <col min="12044" max="12044" width="16.59765625" style="21" customWidth="1"/>
    <col min="12045" max="12045" width="10.09765625" style="21" customWidth="1"/>
    <col min="12046" max="12046" width="16.09765625" style="21" customWidth="1"/>
    <col min="12047" max="12047" width="13.09765625" style="21" customWidth="1"/>
    <col min="12048" max="12048" width="14.5" style="21" customWidth="1"/>
    <col min="12049" max="12049" width="11.59765625" style="21" bestFit="1" customWidth="1"/>
    <col min="12050" max="12289" width="8.69921875" style="21"/>
    <col min="12290" max="12290" width="4.09765625" style="21" bestFit="1" customWidth="1"/>
    <col min="12291" max="12291" width="21.5" style="21" customWidth="1"/>
    <col min="12292" max="12292" width="8.5" style="21" customWidth="1"/>
    <col min="12293" max="12293" width="9" style="21" customWidth="1"/>
    <col min="12294" max="12294" width="10.09765625" style="21" customWidth="1"/>
    <col min="12295" max="12295" width="9.5" style="21" customWidth="1"/>
    <col min="12296" max="12296" width="8.5" style="21" customWidth="1"/>
    <col min="12297" max="12297" width="7.5" style="21" customWidth="1"/>
    <col min="12298" max="12298" width="7.19921875" style="21" customWidth="1"/>
    <col min="12299" max="12299" width="16.19921875" style="21" customWidth="1"/>
    <col min="12300" max="12300" width="16.59765625" style="21" customWidth="1"/>
    <col min="12301" max="12301" width="10.09765625" style="21" customWidth="1"/>
    <col min="12302" max="12302" width="16.09765625" style="21" customWidth="1"/>
    <col min="12303" max="12303" width="13.09765625" style="21" customWidth="1"/>
    <col min="12304" max="12304" width="14.5" style="21" customWidth="1"/>
    <col min="12305" max="12305" width="11.59765625" style="21" bestFit="1" customWidth="1"/>
    <col min="12306" max="12545" width="8.69921875" style="21"/>
    <col min="12546" max="12546" width="4.09765625" style="21" bestFit="1" customWidth="1"/>
    <col min="12547" max="12547" width="21.5" style="21" customWidth="1"/>
    <col min="12548" max="12548" width="8.5" style="21" customWidth="1"/>
    <col min="12549" max="12549" width="9" style="21" customWidth="1"/>
    <col min="12550" max="12550" width="10.09765625" style="21" customWidth="1"/>
    <col min="12551" max="12551" width="9.5" style="21" customWidth="1"/>
    <col min="12552" max="12552" width="8.5" style="21" customWidth="1"/>
    <col min="12553" max="12553" width="7.5" style="21" customWidth="1"/>
    <col min="12554" max="12554" width="7.19921875" style="21" customWidth="1"/>
    <col min="12555" max="12555" width="16.19921875" style="21" customWidth="1"/>
    <col min="12556" max="12556" width="16.59765625" style="21" customWidth="1"/>
    <col min="12557" max="12557" width="10.09765625" style="21" customWidth="1"/>
    <col min="12558" max="12558" width="16.09765625" style="21" customWidth="1"/>
    <col min="12559" max="12559" width="13.09765625" style="21" customWidth="1"/>
    <col min="12560" max="12560" width="14.5" style="21" customWidth="1"/>
    <col min="12561" max="12561" width="11.59765625" style="21" bestFit="1" customWidth="1"/>
    <col min="12562" max="12801" width="8.69921875" style="21"/>
    <col min="12802" max="12802" width="4.09765625" style="21" bestFit="1" customWidth="1"/>
    <col min="12803" max="12803" width="21.5" style="21" customWidth="1"/>
    <col min="12804" max="12804" width="8.5" style="21" customWidth="1"/>
    <col min="12805" max="12805" width="9" style="21" customWidth="1"/>
    <col min="12806" max="12806" width="10.09765625" style="21" customWidth="1"/>
    <col min="12807" max="12807" width="9.5" style="21" customWidth="1"/>
    <col min="12808" max="12808" width="8.5" style="21" customWidth="1"/>
    <col min="12809" max="12809" width="7.5" style="21" customWidth="1"/>
    <col min="12810" max="12810" width="7.19921875" style="21" customWidth="1"/>
    <col min="12811" max="12811" width="16.19921875" style="21" customWidth="1"/>
    <col min="12812" max="12812" width="16.59765625" style="21" customWidth="1"/>
    <col min="12813" max="12813" width="10.09765625" style="21" customWidth="1"/>
    <col min="12814" max="12814" width="16.09765625" style="21" customWidth="1"/>
    <col min="12815" max="12815" width="13.09765625" style="21" customWidth="1"/>
    <col min="12816" max="12816" width="14.5" style="21" customWidth="1"/>
    <col min="12817" max="12817" width="11.59765625" style="21" bestFit="1" customWidth="1"/>
    <col min="12818" max="13057" width="8.69921875" style="21"/>
    <col min="13058" max="13058" width="4.09765625" style="21" bestFit="1" customWidth="1"/>
    <col min="13059" max="13059" width="21.5" style="21" customWidth="1"/>
    <col min="13060" max="13060" width="8.5" style="21" customWidth="1"/>
    <col min="13061" max="13061" width="9" style="21" customWidth="1"/>
    <col min="13062" max="13062" width="10.09765625" style="21" customWidth="1"/>
    <col min="13063" max="13063" width="9.5" style="21" customWidth="1"/>
    <col min="13064" max="13064" width="8.5" style="21" customWidth="1"/>
    <col min="13065" max="13065" width="7.5" style="21" customWidth="1"/>
    <col min="13066" max="13066" width="7.19921875" style="21" customWidth="1"/>
    <col min="13067" max="13067" width="16.19921875" style="21" customWidth="1"/>
    <col min="13068" max="13068" width="16.59765625" style="21" customWidth="1"/>
    <col min="13069" max="13069" width="10.09765625" style="21" customWidth="1"/>
    <col min="13070" max="13070" width="16.09765625" style="21" customWidth="1"/>
    <col min="13071" max="13071" width="13.09765625" style="21" customWidth="1"/>
    <col min="13072" max="13072" width="14.5" style="21" customWidth="1"/>
    <col min="13073" max="13073" width="11.59765625" style="21" bestFit="1" customWidth="1"/>
    <col min="13074" max="13313" width="8.69921875" style="21"/>
    <col min="13314" max="13314" width="4.09765625" style="21" bestFit="1" customWidth="1"/>
    <col min="13315" max="13315" width="21.5" style="21" customWidth="1"/>
    <col min="13316" max="13316" width="8.5" style="21" customWidth="1"/>
    <col min="13317" max="13317" width="9" style="21" customWidth="1"/>
    <col min="13318" max="13318" width="10.09765625" style="21" customWidth="1"/>
    <col min="13319" max="13319" width="9.5" style="21" customWidth="1"/>
    <col min="13320" max="13320" width="8.5" style="21" customWidth="1"/>
    <col min="13321" max="13321" width="7.5" style="21" customWidth="1"/>
    <col min="13322" max="13322" width="7.19921875" style="21" customWidth="1"/>
    <col min="13323" max="13323" width="16.19921875" style="21" customWidth="1"/>
    <col min="13324" max="13324" width="16.59765625" style="21" customWidth="1"/>
    <col min="13325" max="13325" width="10.09765625" style="21" customWidth="1"/>
    <col min="13326" max="13326" width="16.09765625" style="21" customWidth="1"/>
    <col min="13327" max="13327" width="13.09765625" style="21" customWidth="1"/>
    <col min="13328" max="13328" width="14.5" style="21" customWidth="1"/>
    <col min="13329" max="13329" width="11.59765625" style="21" bestFit="1" customWidth="1"/>
    <col min="13330" max="13569" width="8.69921875" style="21"/>
    <col min="13570" max="13570" width="4.09765625" style="21" bestFit="1" customWidth="1"/>
    <col min="13571" max="13571" width="21.5" style="21" customWidth="1"/>
    <col min="13572" max="13572" width="8.5" style="21" customWidth="1"/>
    <col min="13573" max="13573" width="9" style="21" customWidth="1"/>
    <col min="13574" max="13574" width="10.09765625" style="21" customWidth="1"/>
    <col min="13575" max="13575" width="9.5" style="21" customWidth="1"/>
    <col min="13576" max="13576" width="8.5" style="21" customWidth="1"/>
    <col min="13577" max="13577" width="7.5" style="21" customWidth="1"/>
    <col min="13578" max="13578" width="7.19921875" style="21" customWidth="1"/>
    <col min="13579" max="13579" width="16.19921875" style="21" customWidth="1"/>
    <col min="13580" max="13580" width="16.59765625" style="21" customWidth="1"/>
    <col min="13581" max="13581" width="10.09765625" style="21" customWidth="1"/>
    <col min="13582" max="13582" width="16.09765625" style="21" customWidth="1"/>
    <col min="13583" max="13583" width="13.09765625" style="21" customWidth="1"/>
    <col min="13584" max="13584" width="14.5" style="21" customWidth="1"/>
    <col min="13585" max="13585" width="11.59765625" style="21" bestFit="1" customWidth="1"/>
    <col min="13586" max="13825" width="8.69921875" style="21"/>
    <col min="13826" max="13826" width="4.09765625" style="21" bestFit="1" customWidth="1"/>
    <col min="13827" max="13827" width="21.5" style="21" customWidth="1"/>
    <col min="13828" max="13828" width="8.5" style="21" customWidth="1"/>
    <col min="13829" max="13829" width="9" style="21" customWidth="1"/>
    <col min="13830" max="13830" width="10.09765625" style="21" customWidth="1"/>
    <col min="13831" max="13831" width="9.5" style="21" customWidth="1"/>
    <col min="13832" max="13832" width="8.5" style="21" customWidth="1"/>
    <col min="13833" max="13833" width="7.5" style="21" customWidth="1"/>
    <col min="13834" max="13834" width="7.19921875" style="21" customWidth="1"/>
    <col min="13835" max="13835" width="16.19921875" style="21" customWidth="1"/>
    <col min="13836" max="13836" width="16.59765625" style="21" customWidth="1"/>
    <col min="13837" max="13837" width="10.09765625" style="21" customWidth="1"/>
    <col min="13838" max="13838" width="16.09765625" style="21" customWidth="1"/>
    <col min="13839" max="13839" width="13.09765625" style="21" customWidth="1"/>
    <col min="13840" max="13840" width="14.5" style="21" customWidth="1"/>
    <col min="13841" max="13841" width="11.59765625" style="21" bestFit="1" customWidth="1"/>
    <col min="13842" max="14081" width="8.69921875" style="21"/>
    <col min="14082" max="14082" width="4.09765625" style="21" bestFit="1" customWidth="1"/>
    <col min="14083" max="14083" width="21.5" style="21" customWidth="1"/>
    <col min="14084" max="14084" width="8.5" style="21" customWidth="1"/>
    <col min="14085" max="14085" width="9" style="21" customWidth="1"/>
    <col min="14086" max="14086" width="10.09765625" style="21" customWidth="1"/>
    <col min="14087" max="14087" width="9.5" style="21" customWidth="1"/>
    <col min="14088" max="14088" width="8.5" style="21" customWidth="1"/>
    <col min="14089" max="14089" width="7.5" style="21" customWidth="1"/>
    <col min="14090" max="14090" width="7.19921875" style="21" customWidth="1"/>
    <col min="14091" max="14091" width="16.19921875" style="21" customWidth="1"/>
    <col min="14092" max="14092" width="16.59765625" style="21" customWidth="1"/>
    <col min="14093" max="14093" width="10.09765625" style="21" customWidth="1"/>
    <col min="14094" max="14094" width="16.09765625" style="21" customWidth="1"/>
    <col min="14095" max="14095" width="13.09765625" style="21" customWidth="1"/>
    <col min="14096" max="14096" width="14.5" style="21" customWidth="1"/>
    <col min="14097" max="14097" width="11.59765625" style="21" bestFit="1" customWidth="1"/>
    <col min="14098" max="14337" width="8.69921875" style="21"/>
    <col min="14338" max="14338" width="4.09765625" style="21" bestFit="1" customWidth="1"/>
    <col min="14339" max="14339" width="21.5" style="21" customWidth="1"/>
    <col min="14340" max="14340" width="8.5" style="21" customWidth="1"/>
    <col min="14341" max="14341" width="9" style="21" customWidth="1"/>
    <col min="14342" max="14342" width="10.09765625" style="21" customWidth="1"/>
    <col min="14343" max="14343" width="9.5" style="21" customWidth="1"/>
    <col min="14344" max="14344" width="8.5" style="21" customWidth="1"/>
    <col min="14345" max="14345" width="7.5" style="21" customWidth="1"/>
    <col min="14346" max="14346" width="7.19921875" style="21" customWidth="1"/>
    <col min="14347" max="14347" width="16.19921875" style="21" customWidth="1"/>
    <col min="14348" max="14348" width="16.59765625" style="21" customWidth="1"/>
    <col min="14349" max="14349" width="10.09765625" style="21" customWidth="1"/>
    <col min="14350" max="14350" width="16.09765625" style="21" customWidth="1"/>
    <col min="14351" max="14351" width="13.09765625" style="21" customWidth="1"/>
    <col min="14352" max="14352" width="14.5" style="21" customWidth="1"/>
    <col min="14353" max="14353" width="11.59765625" style="21" bestFit="1" customWidth="1"/>
    <col min="14354" max="14593" width="8.69921875" style="21"/>
    <col min="14594" max="14594" width="4.09765625" style="21" bestFit="1" customWidth="1"/>
    <col min="14595" max="14595" width="21.5" style="21" customWidth="1"/>
    <col min="14596" max="14596" width="8.5" style="21" customWidth="1"/>
    <col min="14597" max="14597" width="9" style="21" customWidth="1"/>
    <col min="14598" max="14598" width="10.09765625" style="21" customWidth="1"/>
    <col min="14599" max="14599" width="9.5" style="21" customWidth="1"/>
    <col min="14600" max="14600" width="8.5" style="21" customWidth="1"/>
    <col min="14601" max="14601" width="7.5" style="21" customWidth="1"/>
    <col min="14602" max="14602" width="7.19921875" style="21" customWidth="1"/>
    <col min="14603" max="14603" width="16.19921875" style="21" customWidth="1"/>
    <col min="14604" max="14604" width="16.59765625" style="21" customWidth="1"/>
    <col min="14605" max="14605" width="10.09765625" style="21" customWidth="1"/>
    <col min="14606" max="14606" width="16.09765625" style="21" customWidth="1"/>
    <col min="14607" max="14607" width="13.09765625" style="21" customWidth="1"/>
    <col min="14608" max="14608" width="14.5" style="21" customWidth="1"/>
    <col min="14609" max="14609" width="11.59765625" style="21" bestFit="1" customWidth="1"/>
    <col min="14610" max="14849" width="8.69921875" style="21"/>
    <col min="14850" max="14850" width="4.09765625" style="21" bestFit="1" customWidth="1"/>
    <col min="14851" max="14851" width="21.5" style="21" customWidth="1"/>
    <col min="14852" max="14852" width="8.5" style="21" customWidth="1"/>
    <col min="14853" max="14853" width="9" style="21" customWidth="1"/>
    <col min="14854" max="14854" width="10.09765625" style="21" customWidth="1"/>
    <col min="14855" max="14855" width="9.5" style="21" customWidth="1"/>
    <col min="14856" max="14856" width="8.5" style="21" customWidth="1"/>
    <col min="14857" max="14857" width="7.5" style="21" customWidth="1"/>
    <col min="14858" max="14858" width="7.19921875" style="21" customWidth="1"/>
    <col min="14859" max="14859" width="16.19921875" style="21" customWidth="1"/>
    <col min="14860" max="14860" width="16.59765625" style="21" customWidth="1"/>
    <col min="14861" max="14861" width="10.09765625" style="21" customWidth="1"/>
    <col min="14862" max="14862" width="16.09765625" style="21" customWidth="1"/>
    <col min="14863" max="14863" width="13.09765625" style="21" customWidth="1"/>
    <col min="14864" max="14864" width="14.5" style="21" customWidth="1"/>
    <col min="14865" max="14865" width="11.59765625" style="21" bestFit="1" customWidth="1"/>
    <col min="14866" max="15105" width="8.69921875" style="21"/>
    <col min="15106" max="15106" width="4.09765625" style="21" bestFit="1" customWidth="1"/>
    <col min="15107" max="15107" width="21.5" style="21" customWidth="1"/>
    <col min="15108" max="15108" width="8.5" style="21" customWidth="1"/>
    <col min="15109" max="15109" width="9" style="21" customWidth="1"/>
    <col min="15110" max="15110" width="10.09765625" style="21" customWidth="1"/>
    <col min="15111" max="15111" width="9.5" style="21" customWidth="1"/>
    <col min="15112" max="15112" width="8.5" style="21" customWidth="1"/>
    <col min="15113" max="15113" width="7.5" style="21" customWidth="1"/>
    <col min="15114" max="15114" width="7.19921875" style="21" customWidth="1"/>
    <col min="15115" max="15115" width="16.19921875" style="21" customWidth="1"/>
    <col min="15116" max="15116" width="16.59765625" style="21" customWidth="1"/>
    <col min="15117" max="15117" width="10.09765625" style="21" customWidth="1"/>
    <col min="15118" max="15118" width="16.09765625" style="21" customWidth="1"/>
    <col min="15119" max="15119" width="13.09765625" style="21" customWidth="1"/>
    <col min="15120" max="15120" width="14.5" style="21" customWidth="1"/>
    <col min="15121" max="15121" width="11.59765625" style="21" bestFit="1" customWidth="1"/>
    <col min="15122" max="15361" width="8.69921875" style="21"/>
    <col min="15362" max="15362" width="4.09765625" style="21" bestFit="1" customWidth="1"/>
    <col min="15363" max="15363" width="21.5" style="21" customWidth="1"/>
    <col min="15364" max="15364" width="8.5" style="21" customWidth="1"/>
    <col min="15365" max="15365" width="9" style="21" customWidth="1"/>
    <col min="15366" max="15366" width="10.09765625" style="21" customWidth="1"/>
    <col min="15367" max="15367" width="9.5" style="21" customWidth="1"/>
    <col min="15368" max="15368" width="8.5" style="21" customWidth="1"/>
    <col min="15369" max="15369" width="7.5" style="21" customWidth="1"/>
    <col min="15370" max="15370" width="7.19921875" style="21" customWidth="1"/>
    <col min="15371" max="15371" width="16.19921875" style="21" customWidth="1"/>
    <col min="15372" max="15372" width="16.59765625" style="21" customWidth="1"/>
    <col min="15373" max="15373" width="10.09765625" style="21" customWidth="1"/>
    <col min="15374" max="15374" width="16.09765625" style="21" customWidth="1"/>
    <col min="15375" max="15375" width="13.09765625" style="21" customWidth="1"/>
    <col min="15376" max="15376" width="14.5" style="21" customWidth="1"/>
    <col min="15377" max="15377" width="11.59765625" style="21" bestFit="1" customWidth="1"/>
    <col min="15378" max="15617" width="8.69921875" style="21"/>
    <col min="15618" max="15618" width="4.09765625" style="21" bestFit="1" customWidth="1"/>
    <col min="15619" max="15619" width="21.5" style="21" customWidth="1"/>
    <col min="15620" max="15620" width="8.5" style="21" customWidth="1"/>
    <col min="15621" max="15621" width="9" style="21" customWidth="1"/>
    <col min="15622" max="15622" width="10.09765625" style="21" customWidth="1"/>
    <col min="15623" max="15623" width="9.5" style="21" customWidth="1"/>
    <col min="15624" max="15624" width="8.5" style="21" customWidth="1"/>
    <col min="15625" max="15625" width="7.5" style="21" customWidth="1"/>
    <col min="15626" max="15626" width="7.19921875" style="21" customWidth="1"/>
    <col min="15627" max="15627" width="16.19921875" style="21" customWidth="1"/>
    <col min="15628" max="15628" width="16.59765625" style="21" customWidth="1"/>
    <col min="15629" max="15629" width="10.09765625" style="21" customWidth="1"/>
    <col min="15630" max="15630" width="16.09765625" style="21" customWidth="1"/>
    <col min="15631" max="15631" width="13.09765625" style="21" customWidth="1"/>
    <col min="15632" max="15632" width="14.5" style="21" customWidth="1"/>
    <col min="15633" max="15633" width="11.59765625" style="21" bestFit="1" customWidth="1"/>
    <col min="15634" max="15873" width="8.69921875" style="21"/>
    <col min="15874" max="15874" width="4.09765625" style="21" bestFit="1" customWidth="1"/>
    <col min="15875" max="15875" width="21.5" style="21" customWidth="1"/>
    <col min="15876" max="15876" width="8.5" style="21" customWidth="1"/>
    <col min="15877" max="15877" width="9" style="21" customWidth="1"/>
    <col min="15878" max="15878" width="10.09765625" style="21" customWidth="1"/>
    <col min="15879" max="15879" width="9.5" style="21" customWidth="1"/>
    <col min="15880" max="15880" width="8.5" style="21" customWidth="1"/>
    <col min="15881" max="15881" width="7.5" style="21" customWidth="1"/>
    <col min="15882" max="15882" width="7.19921875" style="21" customWidth="1"/>
    <col min="15883" max="15883" width="16.19921875" style="21" customWidth="1"/>
    <col min="15884" max="15884" width="16.59765625" style="21" customWidth="1"/>
    <col min="15885" max="15885" width="10.09765625" style="21" customWidth="1"/>
    <col min="15886" max="15886" width="16.09765625" style="21" customWidth="1"/>
    <col min="15887" max="15887" width="13.09765625" style="21" customWidth="1"/>
    <col min="15888" max="15888" width="14.5" style="21" customWidth="1"/>
    <col min="15889" max="15889" width="11.59765625" style="21" bestFit="1" customWidth="1"/>
    <col min="15890" max="16129" width="8.69921875" style="21"/>
    <col min="16130" max="16130" width="4.09765625" style="21" bestFit="1" customWidth="1"/>
    <col min="16131" max="16131" width="21.5" style="21" customWidth="1"/>
    <col min="16132" max="16132" width="8.5" style="21" customWidth="1"/>
    <col min="16133" max="16133" width="9" style="21" customWidth="1"/>
    <col min="16134" max="16134" width="10.09765625" style="21" customWidth="1"/>
    <col min="16135" max="16135" width="9.5" style="21" customWidth="1"/>
    <col min="16136" max="16136" width="8.5" style="21" customWidth="1"/>
    <col min="16137" max="16137" width="7.5" style="21" customWidth="1"/>
    <col min="16138" max="16138" width="7.19921875" style="21" customWidth="1"/>
    <col min="16139" max="16139" width="16.19921875" style="21" customWidth="1"/>
    <col min="16140" max="16140" width="16.59765625" style="21" customWidth="1"/>
    <col min="16141" max="16141" width="10.09765625" style="21" customWidth="1"/>
    <col min="16142" max="16142" width="16.09765625" style="21" customWidth="1"/>
    <col min="16143" max="16143" width="13.09765625" style="21" customWidth="1"/>
    <col min="16144" max="16144" width="14.5" style="21" customWidth="1"/>
    <col min="16145" max="16145" width="11.59765625" style="21" bestFit="1" customWidth="1"/>
    <col min="16146" max="16384" width="8.69921875" style="21"/>
  </cols>
  <sheetData>
    <row r="1" spans="1:17" x14ac:dyDescent="0.25">
      <c r="A1" s="701"/>
      <c r="B1" s="701"/>
      <c r="C1" s="701"/>
      <c r="D1" s="701"/>
      <c r="O1" s="779" t="s">
        <v>891</v>
      </c>
      <c r="P1" s="779"/>
    </row>
    <row r="2" spans="1:17" x14ac:dyDescent="0.25">
      <c r="A2" s="702"/>
      <c r="B2" s="702"/>
      <c r="C2" s="702"/>
      <c r="D2" s="702"/>
    </row>
    <row r="3" spans="1:17" s="22" customFormat="1" x14ac:dyDescent="0.25">
      <c r="A3" s="703" t="s">
        <v>988</v>
      </c>
      <c r="B3" s="703"/>
      <c r="C3" s="703"/>
      <c r="D3" s="703"/>
      <c r="E3" s="703"/>
      <c r="F3" s="703"/>
      <c r="G3" s="703"/>
      <c r="H3" s="703"/>
      <c r="I3" s="703"/>
      <c r="J3" s="703"/>
      <c r="K3" s="703"/>
      <c r="L3" s="703"/>
      <c r="M3" s="703"/>
      <c r="N3" s="703"/>
      <c r="O3" s="703"/>
      <c r="P3" s="703"/>
    </row>
    <row r="4" spans="1:17" x14ac:dyDescent="0.25">
      <c r="A4" s="23"/>
      <c r="B4" s="24"/>
      <c r="O4" s="780" t="s">
        <v>63</v>
      </c>
      <c r="P4" s="780"/>
    </row>
    <row r="5" spans="1:17" x14ac:dyDescent="0.25">
      <c r="A5" s="774" t="s">
        <v>6</v>
      </c>
      <c r="B5" s="774" t="s">
        <v>0</v>
      </c>
      <c r="C5" s="774" t="s">
        <v>809</v>
      </c>
      <c r="D5" s="775" t="s">
        <v>54</v>
      </c>
      <c r="E5" s="776"/>
      <c r="F5" s="776"/>
      <c r="G5" s="776"/>
      <c r="H5" s="776"/>
      <c r="I5" s="776"/>
      <c r="J5" s="777" t="s">
        <v>810</v>
      </c>
      <c r="K5" s="777" t="s">
        <v>811</v>
      </c>
      <c r="L5" s="781" t="s">
        <v>65</v>
      </c>
      <c r="M5" s="774" t="s">
        <v>56</v>
      </c>
      <c r="N5" s="774"/>
      <c r="O5" s="781" t="s">
        <v>66</v>
      </c>
      <c r="P5" s="781" t="s">
        <v>812</v>
      </c>
    </row>
    <row r="6" spans="1:17" s="286" customFormat="1" ht="66" x14ac:dyDescent="0.3">
      <c r="A6" s="774"/>
      <c r="B6" s="774"/>
      <c r="C6" s="774"/>
      <c r="D6" s="395" t="s">
        <v>57</v>
      </c>
      <c r="E6" s="396" t="s">
        <v>58</v>
      </c>
      <c r="F6" s="396" t="s">
        <v>59</v>
      </c>
      <c r="G6" s="396" t="s">
        <v>813</v>
      </c>
      <c r="H6" s="396" t="s">
        <v>814</v>
      </c>
      <c r="I6" s="396" t="s">
        <v>60</v>
      </c>
      <c r="J6" s="778"/>
      <c r="K6" s="778"/>
      <c r="L6" s="782"/>
      <c r="M6" s="397" t="s">
        <v>61</v>
      </c>
      <c r="N6" s="398" t="s">
        <v>69</v>
      </c>
      <c r="O6" s="782"/>
      <c r="P6" s="782"/>
      <c r="Q6" s="399"/>
    </row>
    <row r="7" spans="1:17" s="402" customFormat="1" ht="25.5" x14ac:dyDescent="0.3">
      <c r="A7" s="400" t="s">
        <v>15</v>
      </c>
      <c r="B7" s="400" t="s">
        <v>16</v>
      </c>
      <c r="C7" s="400">
        <v>1</v>
      </c>
      <c r="D7" s="400" t="s">
        <v>815</v>
      </c>
      <c r="E7" s="401">
        <v>3</v>
      </c>
      <c r="F7" s="400">
        <v>4</v>
      </c>
      <c r="G7" s="400">
        <v>5</v>
      </c>
      <c r="H7" s="400">
        <v>6</v>
      </c>
      <c r="I7" s="400">
        <v>7</v>
      </c>
      <c r="J7" s="400" t="s">
        <v>816</v>
      </c>
      <c r="K7" s="400" t="s">
        <v>817</v>
      </c>
      <c r="L7" s="400" t="s">
        <v>818</v>
      </c>
      <c r="M7" s="400" t="s">
        <v>819</v>
      </c>
      <c r="N7" s="400" t="s">
        <v>820</v>
      </c>
      <c r="O7" s="400" t="s">
        <v>821</v>
      </c>
      <c r="P7" s="400" t="s">
        <v>822</v>
      </c>
    </row>
    <row r="8" spans="1:17" s="408" customFormat="1" x14ac:dyDescent="0.3">
      <c r="A8" s="403" t="s">
        <v>5</v>
      </c>
      <c r="B8" s="404" t="s">
        <v>823</v>
      </c>
      <c r="C8" s="405">
        <f>SUBTOTAL(9,C9:C24)</f>
        <v>60.839999999999996</v>
      </c>
      <c r="D8" s="405">
        <f t="shared" ref="D8:O8" si="0">SUBTOTAL(9,D9:D24)</f>
        <v>10.5</v>
      </c>
      <c r="E8" s="406">
        <f t="shared" si="0"/>
        <v>0</v>
      </c>
      <c r="F8" s="405">
        <f t="shared" si="0"/>
        <v>1</v>
      </c>
      <c r="G8" s="405">
        <f t="shared" si="0"/>
        <v>2.1</v>
      </c>
      <c r="H8" s="405">
        <f t="shared" si="0"/>
        <v>6.4000000000000012</v>
      </c>
      <c r="I8" s="405">
        <f t="shared" si="0"/>
        <v>1</v>
      </c>
      <c r="J8" s="407">
        <f t="shared" si="0"/>
        <v>2003227200</v>
      </c>
      <c r="K8" s="407">
        <f t="shared" si="0"/>
        <v>29640000</v>
      </c>
      <c r="L8" s="407">
        <f t="shared" si="0"/>
        <v>408069792</v>
      </c>
      <c r="M8" s="407">
        <f t="shared" si="0"/>
        <v>3200</v>
      </c>
      <c r="N8" s="407">
        <f t="shared" si="0"/>
        <v>361432800</v>
      </c>
      <c r="O8" s="407">
        <f t="shared" si="0"/>
        <v>32175000</v>
      </c>
      <c r="P8" s="407">
        <f>SUBTOTAL(9,P9:P24)</f>
        <v>2811144792</v>
      </c>
    </row>
    <row r="9" spans="1:17" s="415" customFormat="1" x14ac:dyDescent="0.3">
      <c r="A9" s="409">
        <v>1</v>
      </c>
      <c r="B9" s="410" t="s">
        <v>824</v>
      </c>
      <c r="C9" s="411">
        <v>4.9800000000000004</v>
      </c>
      <c r="D9" s="409">
        <f>E9+F9+G9+H9+I9</f>
        <v>0.9</v>
      </c>
      <c r="E9" s="412"/>
      <c r="F9" s="413">
        <v>0.2</v>
      </c>
      <c r="G9" s="413">
        <v>0.3</v>
      </c>
      <c r="H9" s="413">
        <v>0.4</v>
      </c>
      <c r="I9" s="413">
        <v>0</v>
      </c>
      <c r="J9" s="414">
        <f>(C9+D9)*2340000*12</f>
        <v>165110400.00000003</v>
      </c>
      <c r="K9" s="414"/>
      <c r="L9" s="414">
        <f>(C9+E9+F9)*2340000*23.5/100*12</f>
        <v>34181784.000000007</v>
      </c>
      <c r="M9" s="414">
        <v>200</v>
      </c>
      <c r="N9" s="414">
        <f>(C9+E9+F9+H9+I9)*2340000/26/8*136*2+(C9+E9+F9+H9+I9)*2340000/26/8*64*3</f>
        <v>29127600.000000007</v>
      </c>
      <c r="O9" s="414"/>
      <c r="P9" s="414">
        <f>J9+L9+N9+O9</f>
        <v>228419784.00000003</v>
      </c>
    </row>
    <row r="10" spans="1:17" s="415" customFormat="1" x14ac:dyDescent="0.3">
      <c r="A10" s="409">
        <v>2</v>
      </c>
      <c r="B10" s="410" t="s">
        <v>825</v>
      </c>
      <c r="C10" s="411">
        <v>4.6500000000000004</v>
      </c>
      <c r="D10" s="409">
        <f t="shared" ref="D10:D24" si="1">E10+F10+G10+H10+I10</f>
        <v>0.9</v>
      </c>
      <c r="E10" s="412"/>
      <c r="F10" s="413">
        <v>0.2</v>
      </c>
      <c r="G10" s="413">
        <v>0.3</v>
      </c>
      <c r="H10" s="413">
        <v>0.4</v>
      </c>
      <c r="I10" s="413">
        <v>0</v>
      </c>
      <c r="J10" s="414">
        <f>(C10+D10)*2340000*12</f>
        <v>155844000.00000003</v>
      </c>
      <c r="K10" s="414"/>
      <c r="L10" s="414">
        <f>(C10+E10+F10)*2340000*23.5/100*12</f>
        <v>32004180.000000007</v>
      </c>
      <c r="M10" s="414">
        <v>200</v>
      </c>
      <c r="N10" s="414">
        <f t="shared" ref="N10:N24" si="2">(C10+E10+F10+H10+I10)*2340000/26/8*136*2+(C10+E10+F10+H10+I10)*2340000/26/8*64*3</f>
        <v>27405000.000000004</v>
      </c>
      <c r="O10" s="414"/>
      <c r="P10" s="414">
        <f t="shared" ref="P10:P24" si="3">J10+L10+N10+O10</f>
        <v>215253180.00000003</v>
      </c>
    </row>
    <row r="11" spans="1:17" s="415" customFormat="1" x14ac:dyDescent="0.3">
      <c r="A11" s="409">
        <v>3</v>
      </c>
      <c r="B11" s="410" t="s">
        <v>826</v>
      </c>
      <c r="C11" s="411">
        <v>4.8899999999999997</v>
      </c>
      <c r="D11" s="409">
        <f t="shared" si="1"/>
        <v>0.9</v>
      </c>
      <c r="E11" s="412"/>
      <c r="F11" s="413">
        <v>0.2</v>
      </c>
      <c r="G11" s="413">
        <v>0.3</v>
      </c>
      <c r="H11" s="413">
        <v>0.4</v>
      </c>
      <c r="I11" s="413">
        <v>0</v>
      </c>
      <c r="J11" s="414">
        <f t="shared" ref="J11:J24" si="4">(C11+D11)*2340000*12</f>
        <v>162583200</v>
      </c>
      <c r="K11" s="414"/>
      <c r="L11" s="414">
        <f t="shared" ref="L11:L24" si="5">(C11+E11+F11)*2340000*23.5/100*12</f>
        <v>33587892</v>
      </c>
      <c r="M11" s="414">
        <v>200</v>
      </c>
      <c r="N11" s="414">
        <f t="shared" si="2"/>
        <v>28657800</v>
      </c>
      <c r="O11" s="414"/>
      <c r="P11" s="414">
        <f t="shared" si="3"/>
        <v>224828892</v>
      </c>
    </row>
    <row r="12" spans="1:17" s="415" customFormat="1" x14ac:dyDescent="0.3">
      <c r="A12" s="409">
        <v>4</v>
      </c>
      <c r="B12" s="410" t="s">
        <v>827</v>
      </c>
      <c r="C12" s="411">
        <v>4.32</v>
      </c>
      <c r="D12" s="409">
        <f t="shared" si="1"/>
        <v>0.9</v>
      </c>
      <c r="E12" s="412"/>
      <c r="F12" s="413">
        <v>0.2</v>
      </c>
      <c r="G12" s="413">
        <v>0.3</v>
      </c>
      <c r="H12" s="413">
        <v>0.4</v>
      </c>
      <c r="I12" s="413"/>
      <c r="J12" s="414">
        <f t="shared" si="4"/>
        <v>146577600.00000003</v>
      </c>
      <c r="K12" s="414"/>
      <c r="L12" s="414">
        <f t="shared" si="5"/>
        <v>29826576.000000007</v>
      </c>
      <c r="M12" s="414">
        <v>200</v>
      </c>
      <c r="N12" s="414">
        <f t="shared" si="2"/>
        <v>25682400.000000004</v>
      </c>
      <c r="O12" s="414"/>
      <c r="P12" s="414">
        <f t="shared" si="3"/>
        <v>202086576.00000003</v>
      </c>
    </row>
    <row r="13" spans="1:17" s="415" customFormat="1" x14ac:dyDescent="0.3">
      <c r="A13" s="409">
        <v>5</v>
      </c>
      <c r="B13" s="410" t="s">
        <v>828</v>
      </c>
      <c r="C13" s="411">
        <v>4.32</v>
      </c>
      <c r="D13" s="409">
        <f t="shared" si="1"/>
        <v>0.60000000000000009</v>
      </c>
      <c r="E13" s="412"/>
      <c r="F13" s="413">
        <v>0.2</v>
      </c>
      <c r="G13" s="413"/>
      <c r="H13" s="413">
        <v>0.4</v>
      </c>
      <c r="I13" s="413"/>
      <c r="J13" s="414">
        <f t="shared" si="4"/>
        <v>138153600</v>
      </c>
      <c r="K13" s="414"/>
      <c r="L13" s="414">
        <f t="shared" si="5"/>
        <v>29826576.000000007</v>
      </c>
      <c r="M13" s="414">
        <v>200</v>
      </c>
      <c r="N13" s="414">
        <f t="shared" si="2"/>
        <v>25682400.000000004</v>
      </c>
      <c r="O13" s="414"/>
      <c r="P13" s="414">
        <f t="shared" si="3"/>
        <v>193662576</v>
      </c>
    </row>
    <row r="14" spans="1:17" s="415" customFormat="1" x14ac:dyDescent="0.3">
      <c r="A14" s="409">
        <v>6</v>
      </c>
      <c r="B14" s="416" t="s">
        <v>829</v>
      </c>
      <c r="C14" s="411">
        <v>3.66</v>
      </c>
      <c r="D14" s="409">
        <f t="shared" si="1"/>
        <v>0.5</v>
      </c>
      <c r="E14" s="412"/>
      <c r="F14" s="413">
        <v>0</v>
      </c>
      <c r="G14" s="413"/>
      <c r="H14" s="413">
        <v>0.4</v>
      </c>
      <c r="I14" s="413">
        <v>0.1</v>
      </c>
      <c r="J14" s="414">
        <f t="shared" si="4"/>
        <v>116812800</v>
      </c>
      <c r="K14" s="414">
        <f>25*15000*12</f>
        <v>4500000</v>
      </c>
      <c r="L14" s="414">
        <f t="shared" si="5"/>
        <v>24151608</v>
      </c>
      <c r="M14" s="414">
        <v>200</v>
      </c>
      <c r="N14" s="414">
        <f t="shared" si="2"/>
        <v>21715200</v>
      </c>
      <c r="O14" s="414">
        <f>0.33*2340000*8</f>
        <v>6177600</v>
      </c>
      <c r="P14" s="414">
        <f t="shared" si="3"/>
        <v>168857208</v>
      </c>
    </row>
    <row r="15" spans="1:17" s="415" customFormat="1" x14ac:dyDescent="0.3">
      <c r="A15" s="409">
        <v>7</v>
      </c>
      <c r="B15" s="416" t="s">
        <v>830</v>
      </c>
      <c r="C15" s="411">
        <v>3.66</v>
      </c>
      <c r="D15" s="409">
        <f t="shared" si="1"/>
        <v>0.85</v>
      </c>
      <c r="E15" s="412"/>
      <c r="F15" s="413">
        <v>0</v>
      </c>
      <c r="G15" s="413">
        <v>0.3</v>
      </c>
      <c r="H15" s="413">
        <v>0.4</v>
      </c>
      <c r="I15" s="413">
        <v>0.15</v>
      </c>
      <c r="J15" s="414">
        <f t="shared" si="4"/>
        <v>126640800</v>
      </c>
      <c r="K15" s="414">
        <f>25*15000*12</f>
        <v>4500000</v>
      </c>
      <c r="L15" s="414">
        <f t="shared" si="5"/>
        <v>24151608</v>
      </c>
      <c r="M15" s="414">
        <v>200</v>
      </c>
      <c r="N15" s="414">
        <f t="shared" si="2"/>
        <v>21976200.000000004</v>
      </c>
      <c r="O15" s="414">
        <f>0.33*2340000*9</f>
        <v>6949800</v>
      </c>
      <c r="P15" s="414">
        <f t="shared" si="3"/>
        <v>179718408</v>
      </c>
    </row>
    <row r="16" spans="1:17" s="415" customFormat="1" x14ac:dyDescent="0.3">
      <c r="A16" s="409">
        <v>8</v>
      </c>
      <c r="B16" s="416" t="s">
        <v>831</v>
      </c>
      <c r="C16" s="411">
        <v>3.33</v>
      </c>
      <c r="D16" s="409">
        <f t="shared" si="1"/>
        <v>0.85</v>
      </c>
      <c r="E16" s="412"/>
      <c r="F16" s="413">
        <v>0</v>
      </c>
      <c r="G16" s="413">
        <v>0.3</v>
      </c>
      <c r="H16" s="413">
        <v>0.4</v>
      </c>
      <c r="I16" s="413">
        <v>0.15</v>
      </c>
      <c r="J16" s="414">
        <f t="shared" si="4"/>
        <v>117374400</v>
      </c>
      <c r="K16" s="414">
        <f>25*15000*12</f>
        <v>4500000</v>
      </c>
      <c r="L16" s="414">
        <f t="shared" si="5"/>
        <v>21974004</v>
      </c>
      <c r="M16" s="414">
        <v>200</v>
      </c>
      <c r="N16" s="414">
        <f t="shared" si="2"/>
        <v>20253600</v>
      </c>
      <c r="O16" s="414"/>
      <c r="P16" s="414">
        <f t="shared" si="3"/>
        <v>159602004</v>
      </c>
    </row>
    <row r="17" spans="1:16" s="415" customFormat="1" x14ac:dyDescent="0.3">
      <c r="A17" s="409">
        <v>9</v>
      </c>
      <c r="B17" s="416" t="s">
        <v>832</v>
      </c>
      <c r="C17" s="411">
        <v>3.66</v>
      </c>
      <c r="D17" s="409">
        <f t="shared" si="1"/>
        <v>0.5</v>
      </c>
      <c r="E17" s="412"/>
      <c r="F17" s="413">
        <v>0</v>
      </c>
      <c r="G17" s="413"/>
      <c r="H17" s="413">
        <v>0.4</v>
      </c>
      <c r="I17" s="413">
        <v>0.1</v>
      </c>
      <c r="J17" s="414">
        <f t="shared" si="4"/>
        <v>116812800</v>
      </c>
      <c r="K17" s="414">
        <f>25*15000*12</f>
        <v>4500000</v>
      </c>
      <c r="L17" s="414">
        <f t="shared" si="5"/>
        <v>24151608</v>
      </c>
      <c r="M17" s="414">
        <v>200</v>
      </c>
      <c r="N17" s="414">
        <f t="shared" si="2"/>
        <v>21715200</v>
      </c>
      <c r="O17" s="414">
        <f>0.33*2340000</f>
        <v>772200</v>
      </c>
      <c r="P17" s="414">
        <f t="shared" si="3"/>
        <v>163451808</v>
      </c>
    </row>
    <row r="18" spans="1:16" s="415" customFormat="1" x14ac:dyDescent="0.3">
      <c r="A18" s="409">
        <v>10</v>
      </c>
      <c r="B18" s="416" t="s">
        <v>833</v>
      </c>
      <c r="C18" s="411">
        <v>3</v>
      </c>
      <c r="D18" s="409">
        <f t="shared" si="1"/>
        <v>0.85</v>
      </c>
      <c r="E18" s="412"/>
      <c r="F18" s="413">
        <v>0</v>
      </c>
      <c r="G18" s="413">
        <v>0.3</v>
      </c>
      <c r="H18" s="413">
        <v>0.4</v>
      </c>
      <c r="I18" s="413">
        <v>0.15</v>
      </c>
      <c r="J18" s="414">
        <f t="shared" si="4"/>
        <v>108108000</v>
      </c>
      <c r="K18" s="414"/>
      <c r="L18" s="414">
        <f t="shared" si="5"/>
        <v>19796400</v>
      </c>
      <c r="M18" s="414">
        <v>200</v>
      </c>
      <c r="N18" s="414">
        <f t="shared" si="2"/>
        <v>18531000</v>
      </c>
      <c r="O18" s="414"/>
      <c r="P18" s="414">
        <f t="shared" si="3"/>
        <v>146435400</v>
      </c>
    </row>
    <row r="19" spans="1:16" s="415" customFormat="1" x14ac:dyDescent="0.3">
      <c r="A19" s="409">
        <v>11</v>
      </c>
      <c r="B19" s="416" t="s">
        <v>834</v>
      </c>
      <c r="C19" s="411">
        <v>3.06</v>
      </c>
      <c r="D19" s="409">
        <f t="shared" si="1"/>
        <v>0.4</v>
      </c>
      <c r="E19" s="412"/>
      <c r="F19" s="413">
        <v>0</v>
      </c>
      <c r="G19" s="413"/>
      <c r="H19" s="413">
        <v>0.4</v>
      </c>
      <c r="I19" s="413">
        <v>0</v>
      </c>
      <c r="J19" s="414">
        <f t="shared" si="4"/>
        <v>97156800</v>
      </c>
      <c r="K19" s="414">
        <v>2700000</v>
      </c>
      <c r="L19" s="414">
        <f t="shared" si="5"/>
        <v>20192328</v>
      </c>
      <c r="M19" s="414">
        <v>200</v>
      </c>
      <c r="N19" s="414">
        <f t="shared" si="2"/>
        <v>18061200</v>
      </c>
      <c r="O19" s="414">
        <f>0.2*2340000*11</f>
        <v>5148000</v>
      </c>
      <c r="P19" s="414">
        <f t="shared" si="3"/>
        <v>140558328</v>
      </c>
    </row>
    <row r="20" spans="1:16" s="415" customFormat="1" x14ac:dyDescent="0.3">
      <c r="A20" s="409">
        <v>12</v>
      </c>
      <c r="B20" s="416" t="s">
        <v>835</v>
      </c>
      <c r="C20" s="411">
        <v>3</v>
      </c>
      <c r="D20" s="409">
        <f t="shared" si="1"/>
        <v>0.4</v>
      </c>
      <c r="E20" s="412"/>
      <c r="F20" s="413">
        <v>0</v>
      </c>
      <c r="G20" s="413"/>
      <c r="H20" s="413">
        <v>0.4</v>
      </c>
      <c r="I20" s="413">
        <v>0</v>
      </c>
      <c r="J20" s="414">
        <f t="shared" si="4"/>
        <v>95472000</v>
      </c>
      <c r="K20" s="414">
        <v>2700000</v>
      </c>
      <c r="L20" s="414">
        <f t="shared" si="5"/>
        <v>19796400</v>
      </c>
      <c r="M20" s="414">
        <v>200</v>
      </c>
      <c r="N20" s="414">
        <f t="shared" si="2"/>
        <v>17748000</v>
      </c>
      <c r="O20" s="414"/>
      <c r="P20" s="414">
        <f t="shared" si="3"/>
        <v>133016400</v>
      </c>
    </row>
    <row r="21" spans="1:16" s="415" customFormat="1" x14ac:dyDescent="0.3">
      <c r="A21" s="409">
        <v>13</v>
      </c>
      <c r="B21" s="416" t="s">
        <v>836</v>
      </c>
      <c r="C21" s="411">
        <v>3.66</v>
      </c>
      <c r="D21" s="409">
        <f t="shared" si="1"/>
        <v>0.55000000000000004</v>
      </c>
      <c r="E21" s="412"/>
      <c r="F21" s="413"/>
      <c r="G21" s="413"/>
      <c r="H21" s="413">
        <v>0.4</v>
      </c>
      <c r="I21" s="413">
        <v>0.15</v>
      </c>
      <c r="J21" s="414">
        <f t="shared" si="4"/>
        <v>118216800</v>
      </c>
      <c r="K21" s="414"/>
      <c r="L21" s="414">
        <f t="shared" si="5"/>
        <v>24151608</v>
      </c>
      <c r="M21" s="414">
        <v>200</v>
      </c>
      <c r="N21" s="414">
        <f t="shared" si="2"/>
        <v>21976200.000000004</v>
      </c>
      <c r="O21" s="414">
        <f>0.33*2340000*5</f>
        <v>3861000</v>
      </c>
      <c r="P21" s="414">
        <f t="shared" si="3"/>
        <v>168205608</v>
      </c>
    </row>
    <row r="22" spans="1:16" s="415" customFormat="1" x14ac:dyDescent="0.3">
      <c r="A22" s="409">
        <v>14</v>
      </c>
      <c r="B22" s="416" t="s">
        <v>837</v>
      </c>
      <c r="C22" s="411">
        <v>3.66</v>
      </c>
      <c r="D22" s="409">
        <f t="shared" si="1"/>
        <v>0.5</v>
      </c>
      <c r="E22" s="412"/>
      <c r="F22" s="413"/>
      <c r="G22" s="413"/>
      <c r="H22" s="413">
        <v>0.4</v>
      </c>
      <c r="I22" s="413">
        <v>0.1</v>
      </c>
      <c r="J22" s="414">
        <f t="shared" si="4"/>
        <v>116812800</v>
      </c>
      <c r="K22" s="414"/>
      <c r="L22" s="414">
        <f t="shared" si="5"/>
        <v>24151608</v>
      </c>
      <c r="M22" s="414">
        <v>200</v>
      </c>
      <c r="N22" s="414">
        <f t="shared" si="2"/>
        <v>21715200</v>
      </c>
      <c r="O22" s="414">
        <f>0.33*2340000*4</f>
        <v>3088800</v>
      </c>
      <c r="P22" s="414">
        <f t="shared" si="3"/>
        <v>165768408</v>
      </c>
    </row>
    <row r="23" spans="1:16" s="422" customFormat="1" ht="17.25" x14ac:dyDescent="0.3">
      <c r="A23" s="417">
        <v>15</v>
      </c>
      <c r="B23" s="418" t="s">
        <v>838</v>
      </c>
      <c r="C23" s="419">
        <v>3</v>
      </c>
      <c r="D23" s="420">
        <f>E23+F23+G23+H23+I23</f>
        <v>0.5</v>
      </c>
      <c r="E23" s="419"/>
      <c r="F23" s="419"/>
      <c r="G23" s="419"/>
      <c r="H23" s="419">
        <v>0.4</v>
      </c>
      <c r="I23" s="419">
        <v>0.1</v>
      </c>
      <c r="J23" s="421">
        <f>(C23+D23)*2340000*12</f>
        <v>98280000</v>
      </c>
      <c r="K23" s="421">
        <f>26*20000*12</f>
        <v>6240000</v>
      </c>
      <c r="L23" s="421">
        <f>(C23+E23+F23)*2340000*23.5/100*12</f>
        <v>19796400</v>
      </c>
      <c r="M23" s="414">
        <v>200</v>
      </c>
      <c r="N23" s="414">
        <f>(C23+E23+F23+H23+I23)*2340000/26/8*136*2+(C23+E23+F23+H23+I23)*2340000/26/8*64*3</f>
        <v>18270000</v>
      </c>
      <c r="O23" s="421">
        <f>0.33*2340000*8</f>
        <v>6177600</v>
      </c>
      <c r="P23" s="421">
        <f>J23+L23+N23+O23+K23</f>
        <v>148764000</v>
      </c>
    </row>
    <row r="24" spans="1:16" s="415" customFormat="1" x14ac:dyDescent="0.3">
      <c r="A24" s="409">
        <v>16</v>
      </c>
      <c r="B24" s="416" t="s">
        <v>839</v>
      </c>
      <c r="C24" s="411">
        <v>3.99</v>
      </c>
      <c r="D24" s="409">
        <f t="shared" si="1"/>
        <v>0.4</v>
      </c>
      <c r="E24" s="412"/>
      <c r="F24" s="413"/>
      <c r="G24" s="413"/>
      <c r="H24" s="413">
        <v>0.4</v>
      </c>
      <c r="I24" s="413"/>
      <c r="J24" s="414">
        <f t="shared" si="4"/>
        <v>123271200.00000003</v>
      </c>
      <c r="K24" s="414"/>
      <c r="L24" s="414">
        <f t="shared" si="5"/>
        <v>26329212</v>
      </c>
      <c r="M24" s="414">
        <v>200</v>
      </c>
      <c r="N24" s="414">
        <f t="shared" si="2"/>
        <v>22915800.000000004</v>
      </c>
      <c r="O24" s="414"/>
      <c r="P24" s="414">
        <f t="shared" si="3"/>
        <v>172516212.00000003</v>
      </c>
    </row>
    <row r="25" spans="1:16" s="408" customFormat="1" x14ac:dyDescent="0.3">
      <c r="A25" s="403" t="s">
        <v>1</v>
      </c>
      <c r="B25" s="404" t="s">
        <v>840</v>
      </c>
      <c r="C25" s="405">
        <f t="shared" ref="C25:P25" si="6">C26+C63</f>
        <v>138.25999999999996</v>
      </c>
      <c r="D25" s="405">
        <f t="shared" si="6"/>
        <v>22.546000000000006</v>
      </c>
      <c r="E25" s="406">
        <f t="shared" si="6"/>
        <v>1.996</v>
      </c>
      <c r="F25" s="405">
        <f t="shared" si="6"/>
        <v>0</v>
      </c>
      <c r="G25" s="405">
        <f t="shared" si="6"/>
        <v>0.3</v>
      </c>
      <c r="H25" s="405">
        <f t="shared" si="6"/>
        <v>19.200000000000006</v>
      </c>
      <c r="I25" s="405">
        <f t="shared" si="6"/>
        <v>1.0499999999999998</v>
      </c>
      <c r="J25" s="407">
        <f t="shared" si="6"/>
        <v>4515432480</v>
      </c>
      <c r="K25" s="407">
        <f t="shared" si="6"/>
        <v>181560000</v>
      </c>
      <c r="L25" s="407">
        <f t="shared" si="6"/>
        <v>925521292.79999995</v>
      </c>
      <c r="M25" s="407">
        <f t="shared" si="6"/>
        <v>7200</v>
      </c>
      <c r="N25" s="407">
        <f t="shared" si="6"/>
        <v>837841320</v>
      </c>
      <c r="O25" s="407">
        <f t="shared" si="6"/>
        <v>45386640</v>
      </c>
      <c r="P25" s="407">
        <f t="shared" si="6"/>
        <v>6442741732.8000002</v>
      </c>
    </row>
    <row r="26" spans="1:16" s="428" customFormat="1" ht="34.5" x14ac:dyDescent="0.3">
      <c r="A26" s="423" t="s">
        <v>282</v>
      </c>
      <c r="B26" s="424" t="s">
        <v>841</v>
      </c>
      <c r="C26" s="425">
        <f t="shared" ref="C26:P26" si="7">SUBTOTAL(9,C27:C62)</f>
        <v>112.15999999999997</v>
      </c>
      <c r="D26" s="425">
        <f t="shared" si="7"/>
        <v>17.246000000000006</v>
      </c>
      <c r="E26" s="426">
        <f t="shared" si="7"/>
        <v>1.996</v>
      </c>
      <c r="F26" s="425">
        <f t="shared" si="7"/>
        <v>0</v>
      </c>
      <c r="G26" s="425">
        <f t="shared" si="7"/>
        <v>0</v>
      </c>
      <c r="H26" s="425">
        <f t="shared" si="7"/>
        <v>14.400000000000007</v>
      </c>
      <c r="I26" s="425">
        <f t="shared" si="7"/>
        <v>0.84999999999999987</v>
      </c>
      <c r="J26" s="427">
        <f t="shared" si="7"/>
        <v>3633720480</v>
      </c>
      <c r="K26" s="427">
        <f t="shared" si="7"/>
        <v>126240000</v>
      </c>
      <c r="L26" s="427">
        <f t="shared" si="7"/>
        <v>753292612.79999995</v>
      </c>
      <c r="M26" s="427">
        <f t="shared" si="7"/>
        <v>7200</v>
      </c>
      <c r="N26" s="427">
        <f t="shared" si="7"/>
        <v>675499320</v>
      </c>
      <c r="O26" s="427">
        <f t="shared" si="7"/>
        <v>40332240</v>
      </c>
      <c r="P26" s="427">
        <f t="shared" si="7"/>
        <v>5171484652.8000002</v>
      </c>
    </row>
    <row r="27" spans="1:16" s="415" customFormat="1" x14ac:dyDescent="0.3">
      <c r="A27" s="409">
        <v>17</v>
      </c>
      <c r="B27" s="429" t="s">
        <v>842</v>
      </c>
      <c r="C27" s="411">
        <v>2.67</v>
      </c>
      <c r="D27" s="409">
        <f t="shared" ref="D27:D62" si="8">E27+F27+G27+H27+I27</f>
        <v>0.4</v>
      </c>
      <c r="E27" s="412"/>
      <c r="F27" s="413">
        <v>0</v>
      </c>
      <c r="G27" s="413"/>
      <c r="H27" s="413">
        <v>0.4</v>
      </c>
      <c r="I27" s="413">
        <v>0</v>
      </c>
      <c r="J27" s="414">
        <f>(C27+D27)*2340000*12</f>
        <v>86205600</v>
      </c>
      <c r="K27" s="414">
        <f>25*15000*12</f>
        <v>4500000</v>
      </c>
      <c r="L27" s="414">
        <f t="shared" ref="L27:L62" si="9">(C27+E27+F27)*2340000*23.5/100*12</f>
        <v>17618796</v>
      </c>
      <c r="M27" s="414">
        <v>200</v>
      </c>
      <c r="N27" s="414">
        <f t="shared" ref="N27:N62" si="10">(C27+E27+F27+H27+I27)*2340000/26/8*136*2+(C27+E27+F27+H27+I27)*2340000/26/8*64*3</f>
        <v>16025400</v>
      </c>
      <c r="O27" s="414">
        <f>0.33*2340000</f>
        <v>772200</v>
      </c>
      <c r="P27" s="414">
        <f t="shared" ref="P27:P62" si="11">J27+L27+N27+O27</f>
        <v>120621996</v>
      </c>
    </row>
    <row r="28" spans="1:16" s="415" customFormat="1" x14ac:dyDescent="0.3">
      <c r="A28" s="409">
        <v>18</v>
      </c>
      <c r="B28" s="429" t="s">
        <v>843</v>
      </c>
      <c r="C28" s="411">
        <v>3.99</v>
      </c>
      <c r="D28" s="409">
        <f t="shared" si="8"/>
        <v>0.4</v>
      </c>
      <c r="E28" s="412"/>
      <c r="F28" s="413"/>
      <c r="G28" s="413"/>
      <c r="H28" s="413">
        <v>0.4</v>
      </c>
      <c r="I28" s="413"/>
      <c r="J28" s="414">
        <f t="shared" ref="J28:J62" si="12">(C28+D28)*2340000*12</f>
        <v>123271200.00000003</v>
      </c>
      <c r="K28" s="414">
        <f>25*15000*12</f>
        <v>4500000</v>
      </c>
      <c r="L28" s="414">
        <f t="shared" si="9"/>
        <v>26329212</v>
      </c>
      <c r="M28" s="414">
        <v>200</v>
      </c>
      <c r="N28" s="414">
        <f t="shared" si="10"/>
        <v>22915800.000000004</v>
      </c>
      <c r="O28" s="414"/>
      <c r="P28" s="414">
        <f t="shared" si="11"/>
        <v>172516212.00000003</v>
      </c>
    </row>
    <row r="29" spans="1:16" s="415" customFormat="1" x14ac:dyDescent="0.3">
      <c r="A29" s="409">
        <v>19</v>
      </c>
      <c r="B29" s="429" t="s">
        <v>844</v>
      </c>
      <c r="C29" s="411">
        <v>3</v>
      </c>
      <c r="D29" s="409">
        <f t="shared" si="8"/>
        <v>0.5</v>
      </c>
      <c r="E29" s="412"/>
      <c r="F29" s="413"/>
      <c r="G29" s="413"/>
      <c r="H29" s="413">
        <v>0.4</v>
      </c>
      <c r="I29" s="413">
        <v>0.1</v>
      </c>
      <c r="J29" s="414">
        <f t="shared" si="12"/>
        <v>98280000</v>
      </c>
      <c r="K29" s="414">
        <f>25*15000*12</f>
        <v>4500000</v>
      </c>
      <c r="L29" s="414">
        <f t="shared" si="9"/>
        <v>19796400</v>
      </c>
      <c r="M29" s="414">
        <v>200</v>
      </c>
      <c r="N29" s="414">
        <f t="shared" si="10"/>
        <v>18270000</v>
      </c>
      <c r="O29" s="414">
        <f>0.33*2340000*5</f>
        <v>3861000</v>
      </c>
      <c r="P29" s="414">
        <f t="shared" si="11"/>
        <v>140207400</v>
      </c>
    </row>
    <row r="30" spans="1:16" s="415" customFormat="1" x14ac:dyDescent="0.3">
      <c r="A30" s="409">
        <v>20</v>
      </c>
      <c r="B30" s="410" t="s">
        <v>845</v>
      </c>
      <c r="C30" s="411">
        <v>3.66</v>
      </c>
      <c r="D30" s="409">
        <f t="shared" si="8"/>
        <v>0.4</v>
      </c>
      <c r="E30" s="412"/>
      <c r="F30" s="413">
        <v>0</v>
      </c>
      <c r="G30" s="413"/>
      <c r="H30" s="413">
        <v>0.4</v>
      </c>
      <c r="I30" s="413">
        <v>0</v>
      </c>
      <c r="J30" s="414">
        <f t="shared" si="12"/>
        <v>114004800.00000003</v>
      </c>
      <c r="K30" s="414">
        <f>25*15000*12</f>
        <v>4500000</v>
      </c>
      <c r="L30" s="414">
        <f t="shared" si="9"/>
        <v>24151608</v>
      </c>
      <c r="M30" s="414">
        <v>200</v>
      </c>
      <c r="N30" s="414">
        <f t="shared" si="10"/>
        <v>21193200.000000004</v>
      </c>
      <c r="O30" s="414"/>
      <c r="P30" s="414">
        <f t="shared" si="11"/>
        <v>159349608.00000003</v>
      </c>
    </row>
    <row r="31" spans="1:16" s="415" customFormat="1" x14ac:dyDescent="0.3">
      <c r="A31" s="409">
        <v>21</v>
      </c>
      <c r="B31" s="410" t="s">
        <v>846</v>
      </c>
      <c r="C31" s="411">
        <v>3.66</v>
      </c>
      <c r="D31" s="409">
        <f t="shared" si="8"/>
        <v>0.4</v>
      </c>
      <c r="E31" s="412"/>
      <c r="F31" s="413">
        <v>0</v>
      </c>
      <c r="G31" s="413"/>
      <c r="H31" s="413">
        <v>0.4</v>
      </c>
      <c r="I31" s="413">
        <v>0</v>
      </c>
      <c r="J31" s="414">
        <f t="shared" si="12"/>
        <v>114004800.00000003</v>
      </c>
      <c r="K31" s="414">
        <f>25*15000*12</f>
        <v>4500000</v>
      </c>
      <c r="L31" s="414">
        <f t="shared" si="9"/>
        <v>24151608</v>
      </c>
      <c r="M31" s="414">
        <v>200</v>
      </c>
      <c r="N31" s="414">
        <f t="shared" si="10"/>
        <v>21193200.000000004</v>
      </c>
      <c r="O31" s="414"/>
      <c r="P31" s="414">
        <f t="shared" si="11"/>
        <v>159349608.00000003</v>
      </c>
    </row>
    <row r="32" spans="1:16" s="415" customFormat="1" x14ac:dyDescent="0.25">
      <c r="A32" s="409">
        <v>22</v>
      </c>
      <c r="B32" s="430" t="s">
        <v>847</v>
      </c>
      <c r="C32" s="411">
        <v>3.45</v>
      </c>
      <c r="D32" s="413">
        <f>E32+F32+G32+H32+I32</f>
        <v>0.4</v>
      </c>
      <c r="E32" s="431"/>
      <c r="F32" s="413"/>
      <c r="G32" s="413"/>
      <c r="H32" s="413">
        <v>0.4</v>
      </c>
      <c r="I32" s="413"/>
      <c r="J32" s="414">
        <f t="shared" si="12"/>
        <v>108108000</v>
      </c>
      <c r="K32" s="414">
        <f t="shared" ref="K32:K42" si="13">15*15000*12</f>
        <v>2700000</v>
      </c>
      <c r="L32" s="414">
        <f t="shared" si="9"/>
        <v>22765860</v>
      </c>
      <c r="M32" s="414">
        <v>200</v>
      </c>
      <c r="N32" s="414">
        <f t="shared" si="10"/>
        <v>20097000</v>
      </c>
      <c r="O32" s="414"/>
      <c r="P32" s="414">
        <f t="shared" si="11"/>
        <v>150970860</v>
      </c>
    </row>
    <row r="33" spans="1:16" s="415" customFormat="1" x14ac:dyDescent="0.3">
      <c r="A33" s="409">
        <v>23</v>
      </c>
      <c r="B33" s="416" t="s">
        <v>848</v>
      </c>
      <c r="C33" s="411">
        <v>3</v>
      </c>
      <c r="D33" s="409">
        <f t="shared" si="8"/>
        <v>0.4</v>
      </c>
      <c r="E33" s="412"/>
      <c r="F33" s="413"/>
      <c r="G33" s="413"/>
      <c r="H33" s="413">
        <v>0.4</v>
      </c>
      <c r="I33" s="413"/>
      <c r="J33" s="414">
        <f t="shared" si="12"/>
        <v>95472000</v>
      </c>
      <c r="K33" s="414">
        <f t="shared" si="13"/>
        <v>2700000</v>
      </c>
      <c r="L33" s="414">
        <f t="shared" si="9"/>
        <v>19796400</v>
      </c>
      <c r="M33" s="414">
        <v>200</v>
      </c>
      <c r="N33" s="414">
        <f t="shared" si="10"/>
        <v>17748000</v>
      </c>
      <c r="O33" s="414"/>
      <c r="P33" s="414">
        <f t="shared" si="11"/>
        <v>133016400</v>
      </c>
    </row>
    <row r="34" spans="1:16" s="415" customFormat="1" x14ac:dyDescent="0.3">
      <c r="A34" s="409">
        <v>24</v>
      </c>
      <c r="B34" s="432" t="s">
        <v>849</v>
      </c>
      <c r="C34" s="411">
        <v>3</v>
      </c>
      <c r="D34" s="409">
        <f t="shared" si="8"/>
        <v>0.4</v>
      </c>
      <c r="E34" s="412"/>
      <c r="F34" s="413"/>
      <c r="G34" s="413"/>
      <c r="H34" s="413">
        <v>0.4</v>
      </c>
      <c r="I34" s="413"/>
      <c r="J34" s="414">
        <f t="shared" si="12"/>
        <v>95472000</v>
      </c>
      <c r="K34" s="414">
        <f t="shared" si="13"/>
        <v>2700000</v>
      </c>
      <c r="L34" s="414">
        <f t="shared" si="9"/>
        <v>19796400</v>
      </c>
      <c r="M34" s="414">
        <v>200</v>
      </c>
      <c r="N34" s="414">
        <f t="shared" si="10"/>
        <v>17748000</v>
      </c>
      <c r="O34" s="414"/>
      <c r="P34" s="414">
        <f t="shared" si="11"/>
        <v>133016400</v>
      </c>
    </row>
    <row r="35" spans="1:16" s="415" customFormat="1" x14ac:dyDescent="0.3">
      <c r="A35" s="409">
        <v>25</v>
      </c>
      <c r="B35" s="432" t="s">
        <v>850</v>
      </c>
      <c r="C35" s="411">
        <v>3.06</v>
      </c>
      <c r="D35" s="409">
        <f t="shared" si="8"/>
        <v>0.4</v>
      </c>
      <c r="E35" s="412"/>
      <c r="F35" s="413"/>
      <c r="G35" s="413"/>
      <c r="H35" s="413">
        <v>0.4</v>
      </c>
      <c r="I35" s="413"/>
      <c r="J35" s="414">
        <f t="shared" si="12"/>
        <v>97156800</v>
      </c>
      <c r="K35" s="414">
        <f t="shared" si="13"/>
        <v>2700000</v>
      </c>
      <c r="L35" s="414">
        <f t="shared" si="9"/>
        <v>20192328</v>
      </c>
      <c r="M35" s="414">
        <v>200</v>
      </c>
      <c r="N35" s="414">
        <f t="shared" si="10"/>
        <v>18061200</v>
      </c>
      <c r="O35" s="414">
        <f>0.2*2340000*3</f>
        <v>1404000</v>
      </c>
      <c r="P35" s="414">
        <f t="shared" si="11"/>
        <v>136814328</v>
      </c>
    </row>
    <row r="36" spans="1:16" s="428" customFormat="1" ht="17.25" x14ac:dyDescent="0.3">
      <c r="A36" s="409">
        <v>26</v>
      </c>
      <c r="B36" s="432" t="s">
        <v>851</v>
      </c>
      <c r="C36" s="411">
        <v>3.03</v>
      </c>
      <c r="D36" s="409">
        <f t="shared" si="8"/>
        <v>0.4</v>
      </c>
      <c r="E36" s="412"/>
      <c r="F36" s="413"/>
      <c r="G36" s="413"/>
      <c r="H36" s="413">
        <v>0.4</v>
      </c>
      <c r="I36" s="413"/>
      <c r="J36" s="414">
        <f t="shared" si="12"/>
        <v>96314399.999999985</v>
      </c>
      <c r="K36" s="414">
        <f t="shared" si="13"/>
        <v>2700000</v>
      </c>
      <c r="L36" s="414">
        <f t="shared" si="9"/>
        <v>19994364</v>
      </c>
      <c r="M36" s="414">
        <v>200</v>
      </c>
      <c r="N36" s="414">
        <f t="shared" si="10"/>
        <v>17904599.999999996</v>
      </c>
      <c r="O36" s="414"/>
      <c r="P36" s="414">
        <f t="shared" si="11"/>
        <v>134213363.99999999</v>
      </c>
    </row>
    <row r="37" spans="1:16" s="415" customFormat="1" x14ac:dyDescent="0.3">
      <c r="A37" s="409">
        <v>27</v>
      </c>
      <c r="B37" s="433" t="s">
        <v>852</v>
      </c>
      <c r="C37" s="434">
        <v>3.63</v>
      </c>
      <c r="D37" s="417">
        <f t="shared" si="8"/>
        <v>1.5249999999999999</v>
      </c>
      <c r="E37" s="435">
        <f>1.089+0.036</f>
        <v>1.125</v>
      </c>
      <c r="F37" s="436"/>
      <c r="G37" s="436"/>
      <c r="H37" s="436">
        <v>0.4</v>
      </c>
      <c r="I37" s="436"/>
      <c r="J37" s="437">
        <f t="shared" si="12"/>
        <v>144752399.99999997</v>
      </c>
      <c r="K37" s="414">
        <f t="shared" si="13"/>
        <v>2700000</v>
      </c>
      <c r="L37" s="437">
        <f t="shared" si="9"/>
        <v>31377294</v>
      </c>
      <c r="M37" s="437">
        <v>200</v>
      </c>
      <c r="N37" s="437">
        <f t="shared" si="10"/>
        <v>26909100</v>
      </c>
      <c r="O37" s="437"/>
      <c r="P37" s="437">
        <f t="shared" si="11"/>
        <v>203038793.99999997</v>
      </c>
    </row>
    <row r="38" spans="1:16" s="415" customFormat="1" x14ac:dyDescent="0.3">
      <c r="A38" s="409">
        <v>28</v>
      </c>
      <c r="B38" s="432" t="s">
        <v>853</v>
      </c>
      <c r="C38" s="411">
        <v>3.33</v>
      </c>
      <c r="D38" s="409">
        <f t="shared" si="8"/>
        <v>0.4</v>
      </c>
      <c r="E38" s="412"/>
      <c r="F38" s="413"/>
      <c r="G38" s="413"/>
      <c r="H38" s="413">
        <v>0.4</v>
      </c>
      <c r="I38" s="413"/>
      <c r="J38" s="414">
        <f t="shared" si="12"/>
        <v>104738400</v>
      </c>
      <c r="K38" s="414">
        <f t="shared" si="13"/>
        <v>2700000</v>
      </c>
      <c r="L38" s="414">
        <f t="shared" si="9"/>
        <v>21974004</v>
      </c>
      <c r="M38" s="414">
        <v>200</v>
      </c>
      <c r="N38" s="414">
        <f t="shared" si="10"/>
        <v>19470600</v>
      </c>
      <c r="O38" s="414"/>
      <c r="P38" s="414">
        <f t="shared" si="11"/>
        <v>146183004</v>
      </c>
    </row>
    <row r="39" spans="1:16" s="415" customFormat="1" x14ac:dyDescent="0.3">
      <c r="A39" s="409">
        <v>29</v>
      </c>
      <c r="B39" s="432" t="s">
        <v>854</v>
      </c>
      <c r="C39" s="411">
        <v>2.72</v>
      </c>
      <c r="D39" s="409">
        <f t="shared" si="8"/>
        <v>0.4</v>
      </c>
      <c r="E39" s="412"/>
      <c r="F39" s="413"/>
      <c r="G39" s="413"/>
      <c r="H39" s="413">
        <v>0.4</v>
      </c>
      <c r="I39" s="413"/>
      <c r="J39" s="414">
        <f t="shared" si="12"/>
        <v>87609600</v>
      </c>
      <c r="K39" s="414">
        <f t="shared" si="13"/>
        <v>2700000</v>
      </c>
      <c r="L39" s="414">
        <f t="shared" si="9"/>
        <v>17948736</v>
      </c>
      <c r="M39" s="414">
        <v>200</v>
      </c>
      <c r="N39" s="414">
        <f t="shared" si="10"/>
        <v>16286400</v>
      </c>
      <c r="O39" s="414">
        <f>0.31*2340000*9</f>
        <v>6528600</v>
      </c>
      <c r="P39" s="414">
        <f t="shared" si="11"/>
        <v>128373336</v>
      </c>
    </row>
    <row r="40" spans="1:16" s="415" customFormat="1" x14ac:dyDescent="0.3">
      <c r="A40" s="409">
        <v>30</v>
      </c>
      <c r="B40" s="432" t="s">
        <v>855</v>
      </c>
      <c r="C40" s="411">
        <v>3.06</v>
      </c>
      <c r="D40" s="409">
        <f t="shared" si="8"/>
        <v>0.5</v>
      </c>
      <c r="E40" s="412"/>
      <c r="F40" s="413"/>
      <c r="G40" s="413"/>
      <c r="H40" s="413">
        <v>0.4</v>
      </c>
      <c r="I40" s="413">
        <v>0.1</v>
      </c>
      <c r="J40" s="414">
        <f t="shared" si="12"/>
        <v>99964800</v>
      </c>
      <c r="K40" s="414">
        <f t="shared" si="13"/>
        <v>2700000</v>
      </c>
      <c r="L40" s="414">
        <f t="shared" si="9"/>
        <v>20192328</v>
      </c>
      <c r="M40" s="414">
        <v>200</v>
      </c>
      <c r="N40" s="414">
        <f t="shared" si="10"/>
        <v>18583200</v>
      </c>
      <c r="O40" s="414">
        <f>0.2*2340000*9</f>
        <v>4212000</v>
      </c>
      <c r="P40" s="414">
        <f t="shared" si="11"/>
        <v>142952328</v>
      </c>
    </row>
    <row r="41" spans="1:16" s="415" customFormat="1" x14ac:dyDescent="0.3">
      <c r="A41" s="409">
        <v>31</v>
      </c>
      <c r="B41" s="432" t="s">
        <v>856</v>
      </c>
      <c r="C41" s="411">
        <f>2.73+0.18</f>
        <v>2.91</v>
      </c>
      <c r="D41" s="409">
        <f t="shared" si="8"/>
        <v>0.4</v>
      </c>
      <c r="E41" s="412"/>
      <c r="F41" s="413"/>
      <c r="G41" s="413"/>
      <c r="H41" s="413">
        <v>0.4</v>
      </c>
      <c r="I41" s="413"/>
      <c r="J41" s="414">
        <f t="shared" si="12"/>
        <v>92944800</v>
      </c>
      <c r="K41" s="414">
        <f t="shared" si="13"/>
        <v>2700000</v>
      </c>
      <c r="L41" s="414">
        <f t="shared" si="9"/>
        <v>19202508</v>
      </c>
      <c r="M41" s="414">
        <v>200</v>
      </c>
      <c r="N41" s="414">
        <f t="shared" si="10"/>
        <v>17278200</v>
      </c>
      <c r="O41" s="414">
        <f>0.18*2340000*3</f>
        <v>1263600</v>
      </c>
      <c r="P41" s="414">
        <f t="shared" si="11"/>
        <v>130689108</v>
      </c>
    </row>
    <row r="42" spans="1:16" s="415" customFormat="1" x14ac:dyDescent="0.3">
      <c r="A42" s="409">
        <v>32</v>
      </c>
      <c r="B42" s="433" t="s">
        <v>857</v>
      </c>
      <c r="C42" s="434">
        <v>2.5499999999999998</v>
      </c>
      <c r="D42" s="417">
        <f t="shared" si="8"/>
        <v>0.4</v>
      </c>
      <c r="E42" s="435"/>
      <c r="F42" s="436"/>
      <c r="G42" s="436"/>
      <c r="H42" s="436">
        <v>0.4</v>
      </c>
      <c r="I42" s="436"/>
      <c r="J42" s="437">
        <f t="shared" si="12"/>
        <v>82835999.999999985</v>
      </c>
      <c r="K42" s="414">
        <f t="shared" si="13"/>
        <v>2700000</v>
      </c>
      <c r="L42" s="437">
        <f t="shared" si="9"/>
        <v>16826940</v>
      </c>
      <c r="M42" s="437">
        <v>200</v>
      </c>
      <c r="N42" s="437">
        <f t="shared" si="10"/>
        <v>15398999.999999996</v>
      </c>
      <c r="O42" s="437">
        <f>0.18*2340000</f>
        <v>421200</v>
      </c>
      <c r="P42" s="437">
        <f t="shared" si="11"/>
        <v>115483139.99999999</v>
      </c>
    </row>
    <row r="43" spans="1:16" s="415" customFormat="1" x14ac:dyDescent="0.3">
      <c r="A43" s="409">
        <v>33</v>
      </c>
      <c r="B43" s="429" t="s">
        <v>858</v>
      </c>
      <c r="C43" s="411">
        <v>3</v>
      </c>
      <c r="D43" s="409">
        <f t="shared" si="8"/>
        <v>0.4</v>
      </c>
      <c r="E43" s="412"/>
      <c r="F43" s="413"/>
      <c r="G43" s="413"/>
      <c r="H43" s="413">
        <v>0.4</v>
      </c>
      <c r="I43" s="413"/>
      <c r="J43" s="414">
        <f t="shared" si="12"/>
        <v>95472000</v>
      </c>
      <c r="K43" s="414"/>
      <c r="L43" s="414">
        <f t="shared" si="9"/>
        <v>19796400</v>
      </c>
      <c r="M43" s="414">
        <v>200</v>
      </c>
      <c r="N43" s="414">
        <f t="shared" si="10"/>
        <v>17748000</v>
      </c>
      <c r="O43" s="414"/>
      <c r="P43" s="414">
        <f t="shared" si="11"/>
        <v>133016400</v>
      </c>
    </row>
    <row r="44" spans="1:16" s="415" customFormat="1" x14ac:dyDescent="0.3">
      <c r="A44" s="409">
        <v>34</v>
      </c>
      <c r="B44" s="429" t="s">
        <v>859</v>
      </c>
      <c r="C44" s="411">
        <v>2.41</v>
      </c>
      <c r="D44" s="409">
        <f t="shared" si="8"/>
        <v>0.4</v>
      </c>
      <c r="E44" s="412"/>
      <c r="F44" s="413"/>
      <c r="G44" s="413"/>
      <c r="H44" s="413">
        <v>0.4</v>
      </c>
      <c r="I44" s="413"/>
      <c r="J44" s="414">
        <f t="shared" si="12"/>
        <v>78904800</v>
      </c>
      <c r="K44" s="414"/>
      <c r="L44" s="414">
        <f t="shared" si="9"/>
        <v>15903108</v>
      </c>
      <c r="M44" s="414">
        <v>200</v>
      </c>
      <c r="N44" s="414">
        <f t="shared" si="10"/>
        <v>14668200</v>
      </c>
      <c r="O44" s="414">
        <f>0.31*2340000*4</f>
        <v>2901600</v>
      </c>
      <c r="P44" s="414">
        <f t="shared" si="11"/>
        <v>112377708</v>
      </c>
    </row>
    <row r="45" spans="1:16" s="415" customFormat="1" x14ac:dyDescent="0.3">
      <c r="A45" s="409">
        <v>35</v>
      </c>
      <c r="B45" s="432" t="s">
        <v>860</v>
      </c>
      <c r="C45" s="411">
        <f>3.27+0.18</f>
        <v>3.45</v>
      </c>
      <c r="D45" s="409">
        <f t="shared" si="8"/>
        <v>0.4</v>
      </c>
      <c r="E45" s="412"/>
      <c r="F45" s="413"/>
      <c r="G45" s="413"/>
      <c r="H45" s="413">
        <v>0.4</v>
      </c>
      <c r="I45" s="413"/>
      <c r="J45" s="414">
        <f t="shared" si="12"/>
        <v>108108000</v>
      </c>
      <c r="K45" s="414"/>
      <c r="L45" s="414">
        <f t="shared" si="9"/>
        <v>22765860</v>
      </c>
      <c r="M45" s="414">
        <v>200</v>
      </c>
      <c r="N45" s="414">
        <f t="shared" si="10"/>
        <v>20097000</v>
      </c>
      <c r="O45" s="414"/>
      <c r="P45" s="414">
        <f t="shared" si="11"/>
        <v>150970860</v>
      </c>
    </row>
    <row r="46" spans="1:16" s="415" customFormat="1" x14ac:dyDescent="0.3">
      <c r="A46" s="409">
        <v>36</v>
      </c>
      <c r="B46" s="438" t="s">
        <v>861</v>
      </c>
      <c r="C46" s="439">
        <v>3.33</v>
      </c>
      <c r="D46" s="440">
        <f t="shared" si="8"/>
        <v>0.4</v>
      </c>
      <c r="E46" s="441"/>
      <c r="F46" s="442"/>
      <c r="G46" s="442"/>
      <c r="H46" s="442">
        <v>0.4</v>
      </c>
      <c r="I46" s="442"/>
      <c r="J46" s="443">
        <f t="shared" si="12"/>
        <v>104738400</v>
      </c>
      <c r="K46" s="443">
        <f>15*15000*12</f>
        <v>2700000</v>
      </c>
      <c r="L46" s="443">
        <f t="shared" si="9"/>
        <v>21974004</v>
      </c>
      <c r="M46" s="443">
        <v>200</v>
      </c>
      <c r="N46" s="443">
        <f t="shared" si="10"/>
        <v>19470600</v>
      </c>
      <c r="O46" s="443"/>
      <c r="P46" s="443">
        <f t="shared" si="11"/>
        <v>146183004</v>
      </c>
    </row>
    <row r="47" spans="1:16" s="415" customFormat="1" x14ac:dyDescent="0.3">
      <c r="A47" s="409">
        <v>37</v>
      </c>
      <c r="B47" s="432" t="s">
        <v>862</v>
      </c>
      <c r="C47" s="411">
        <v>2.91</v>
      </c>
      <c r="D47" s="409">
        <f t="shared" si="8"/>
        <v>0.4</v>
      </c>
      <c r="E47" s="412"/>
      <c r="F47" s="413"/>
      <c r="G47" s="413"/>
      <c r="H47" s="413">
        <v>0.4</v>
      </c>
      <c r="I47" s="413"/>
      <c r="J47" s="414">
        <f t="shared" si="12"/>
        <v>92944800</v>
      </c>
      <c r="K47" s="414">
        <f>15*15000*12</f>
        <v>2700000</v>
      </c>
      <c r="L47" s="414">
        <f t="shared" si="9"/>
        <v>19202508</v>
      </c>
      <c r="M47" s="414">
        <v>200</v>
      </c>
      <c r="N47" s="414">
        <f t="shared" si="10"/>
        <v>17278200</v>
      </c>
      <c r="O47" s="414">
        <f>0.18*2340000*6</f>
        <v>2527200</v>
      </c>
      <c r="P47" s="414">
        <f t="shared" si="11"/>
        <v>131952708</v>
      </c>
    </row>
    <row r="48" spans="1:16" s="415" customFormat="1" x14ac:dyDescent="0.3">
      <c r="A48" s="409">
        <v>38</v>
      </c>
      <c r="B48" s="432" t="s">
        <v>863</v>
      </c>
      <c r="C48" s="411">
        <v>3.27</v>
      </c>
      <c r="D48" s="409">
        <f t="shared" si="8"/>
        <v>0.4</v>
      </c>
      <c r="E48" s="412"/>
      <c r="F48" s="413"/>
      <c r="G48" s="413"/>
      <c r="H48" s="413">
        <v>0.4</v>
      </c>
      <c r="I48" s="413"/>
      <c r="J48" s="414">
        <f t="shared" si="12"/>
        <v>103053600</v>
      </c>
      <c r="K48" s="414"/>
      <c r="L48" s="414">
        <f t="shared" si="9"/>
        <v>21578076</v>
      </c>
      <c r="M48" s="414">
        <v>200</v>
      </c>
      <c r="N48" s="414">
        <f t="shared" si="10"/>
        <v>19157400</v>
      </c>
      <c r="O48" s="414"/>
      <c r="P48" s="414">
        <f t="shared" si="11"/>
        <v>143789076</v>
      </c>
    </row>
    <row r="49" spans="1:16" s="446" customFormat="1" ht="17.25" x14ac:dyDescent="0.3">
      <c r="A49" s="409">
        <v>39</v>
      </c>
      <c r="B49" s="432" t="s">
        <v>864</v>
      </c>
      <c r="C49" s="411">
        <v>3.63</v>
      </c>
      <c r="D49" s="444">
        <f t="shared" si="8"/>
        <v>1.4209999999999998</v>
      </c>
      <c r="E49" s="445">
        <v>0.871</v>
      </c>
      <c r="F49" s="413">
        <v>0</v>
      </c>
      <c r="G49" s="413"/>
      <c r="H49" s="413">
        <v>0.4</v>
      </c>
      <c r="I49" s="413">
        <v>0.15</v>
      </c>
      <c r="J49" s="414">
        <f>(C49+D49)*2340000*6*2</f>
        <v>141832080</v>
      </c>
      <c r="K49" s="421">
        <f t="shared" ref="K49:K59" si="14">26*20000*12</f>
        <v>6240000</v>
      </c>
      <c r="L49" s="414">
        <f>(C49+E49+F49)*2340000*23.5/100*12</f>
        <v>29701198.799999997</v>
      </c>
      <c r="M49" s="414">
        <v>200</v>
      </c>
      <c r="N49" s="414">
        <f>(C49+E49+F49+H49+I49)*2340000/26/8*136*2+(C49+E49+F49+H49+I49)*2340000/26/8*64*3</f>
        <v>26366220</v>
      </c>
      <c r="O49" s="414">
        <f>0.036*2340000*6</f>
        <v>505440</v>
      </c>
      <c r="P49" s="414">
        <f>+J49+L49+N49+O49+K49</f>
        <v>204644938.80000001</v>
      </c>
    </row>
    <row r="50" spans="1:16" s="446" customFormat="1" ht="17.25" x14ac:dyDescent="0.3">
      <c r="A50" s="409">
        <v>40</v>
      </c>
      <c r="B50" s="432" t="s">
        <v>865</v>
      </c>
      <c r="C50" s="411">
        <f>2.73+0.18</f>
        <v>2.91</v>
      </c>
      <c r="D50" s="444">
        <f t="shared" si="8"/>
        <v>0.5</v>
      </c>
      <c r="E50" s="413"/>
      <c r="F50" s="413"/>
      <c r="G50" s="413"/>
      <c r="H50" s="413">
        <v>0.4</v>
      </c>
      <c r="I50" s="413">
        <v>0.1</v>
      </c>
      <c r="J50" s="414">
        <f t="shared" ref="J50:J57" si="15">(C50+D50)*2340000*6*2</f>
        <v>95752800</v>
      </c>
      <c r="K50" s="421">
        <f t="shared" si="14"/>
        <v>6240000</v>
      </c>
      <c r="L50" s="414">
        <f t="shared" ref="L50:L59" si="16">(C50+E50+F50)*2340000*23.5/100*12</f>
        <v>19202508</v>
      </c>
      <c r="M50" s="414">
        <v>200</v>
      </c>
      <c r="N50" s="414">
        <f t="shared" ref="N50:N59" si="17">(C50+E50+F50+H50+I50)*2340000/26/8*136*2+(C50+E50+F50+H50+I50)*2340000/26/8*64*3</f>
        <v>17800200</v>
      </c>
      <c r="O50" s="414"/>
      <c r="P50" s="414">
        <f t="shared" ref="P50:P59" si="18">+J50+L50+N50+O50+K50</f>
        <v>138995508</v>
      </c>
    </row>
    <row r="51" spans="1:16" s="446" customFormat="1" ht="17.25" x14ac:dyDescent="0.3">
      <c r="A51" s="409">
        <v>41</v>
      </c>
      <c r="B51" s="432" t="s">
        <v>866</v>
      </c>
      <c r="C51" s="411">
        <v>3.03</v>
      </c>
      <c r="D51" s="444">
        <f t="shared" si="8"/>
        <v>0.5</v>
      </c>
      <c r="E51" s="413"/>
      <c r="F51" s="413"/>
      <c r="G51" s="413"/>
      <c r="H51" s="413">
        <v>0.4</v>
      </c>
      <c r="I51" s="413">
        <v>0.1</v>
      </c>
      <c r="J51" s="414">
        <f t="shared" si="15"/>
        <v>99122400</v>
      </c>
      <c r="K51" s="421">
        <f t="shared" si="14"/>
        <v>6240000</v>
      </c>
      <c r="L51" s="414">
        <f t="shared" si="16"/>
        <v>19994364</v>
      </c>
      <c r="M51" s="414">
        <v>200</v>
      </c>
      <c r="N51" s="414">
        <f t="shared" si="17"/>
        <v>18426600</v>
      </c>
      <c r="O51" s="414"/>
      <c r="P51" s="414">
        <f t="shared" si="18"/>
        <v>143783364</v>
      </c>
    </row>
    <row r="52" spans="1:16" s="446" customFormat="1" ht="17.25" x14ac:dyDescent="0.3">
      <c r="A52" s="409">
        <v>42</v>
      </c>
      <c r="B52" s="432" t="s">
        <v>867</v>
      </c>
      <c r="C52" s="411">
        <v>2.91</v>
      </c>
      <c r="D52" s="444">
        <f t="shared" si="8"/>
        <v>0.4</v>
      </c>
      <c r="E52" s="413"/>
      <c r="F52" s="413"/>
      <c r="G52" s="413"/>
      <c r="H52" s="413">
        <v>0.4</v>
      </c>
      <c r="I52" s="413"/>
      <c r="J52" s="414">
        <f t="shared" si="15"/>
        <v>92944800</v>
      </c>
      <c r="K52" s="421">
        <f t="shared" si="14"/>
        <v>6240000</v>
      </c>
      <c r="L52" s="414">
        <f t="shared" si="16"/>
        <v>19202508</v>
      </c>
      <c r="M52" s="414">
        <v>200</v>
      </c>
      <c r="N52" s="414">
        <f t="shared" si="17"/>
        <v>17278200</v>
      </c>
      <c r="O52" s="414"/>
      <c r="P52" s="414">
        <f t="shared" si="18"/>
        <v>135665508</v>
      </c>
    </row>
    <row r="53" spans="1:16" s="446" customFormat="1" ht="17.25" x14ac:dyDescent="0.3">
      <c r="A53" s="409">
        <v>43</v>
      </c>
      <c r="B53" s="432" t="s">
        <v>868</v>
      </c>
      <c r="C53" s="411">
        <v>3.33</v>
      </c>
      <c r="D53" s="444">
        <f t="shared" si="8"/>
        <v>0.4</v>
      </c>
      <c r="E53" s="413"/>
      <c r="F53" s="413"/>
      <c r="G53" s="413"/>
      <c r="H53" s="413">
        <v>0.4</v>
      </c>
      <c r="I53" s="413"/>
      <c r="J53" s="414">
        <f t="shared" si="15"/>
        <v>104738400</v>
      </c>
      <c r="K53" s="421">
        <f t="shared" si="14"/>
        <v>6240000</v>
      </c>
      <c r="L53" s="414">
        <f t="shared" si="16"/>
        <v>21974004</v>
      </c>
      <c r="M53" s="414">
        <v>200</v>
      </c>
      <c r="N53" s="414">
        <f t="shared" si="17"/>
        <v>19470600</v>
      </c>
      <c r="O53" s="414"/>
      <c r="P53" s="414">
        <f t="shared" si="18"/>
        <v>152423004</v>
      </c>
    </row>
    <row r="54" spans="1:16" s="446" customFormat="1" ht="17.25" x14ac:dyDescent="0.3">
      <c r="A54" s="409">
        <v>44</v>
      </c>
      <c r="B54" s="432" t="s">
        <v>869</v>
      </c>
      <c r="C54" s="411">
        <v>2.91</v>
      </c>
      <c r="D54" s="444">
        <f t="shared" si="8"/>
        <v>0.4</v>
      </c>
      <c r="E54" s="413"/>
      <c r="F54" s="413"/>
      <c r="G54" s="413"/>
      <c r="H54" s="413">
        <v>0.4</v>
      </c>
      <c r="I54" s="413"/>
      <c r="J54" s="414">
        <f t="shared" si="15"/>
        <v>92944800</v>
      </c>
      <c r="K54" s="421">
        <f t="shared" si="14"/>
        <v>6240000</v>
      </c>
      <c r="L54" s="414">
        <f t="shared" si="16"/>
        <v>19202508</v>
      </c>
      <c r="M54" s="414">
        <v>200</v>
      </c>
      <c r="N54" s="414">
        <f t="shared" si="17"/>
        <v>17278200</v>
      </c>
      <c r="O54" s="414"/>
      <c r="P54" s="414">
        <f t="shared" si="18"/>
        <v>135665508</v>
      </c>
    </row>
    <row r="55" spans="1:16" s="446" customFormat="1" ht="17.25" x14ac:dyDescent="0.3">
      <c r="A55" s="409">
        <v>45</v>
      </c>
      <c r="B55" s="429" t="s">
        <v>870</v>
      </c>
      <c r="C55" s="411">
        <v>2.72</v>
      </c>
      <c r="D55" s="444">
        <f t="shared" si="8"/>
        <v>0.4</v>
      </c>
      <c r="E55" s="413"/>
      <c r="F55" s="413"/>
      <c r="G55" s="413"/>
      <c r="H55" s="413">
        <v>0.4</v>
      </c>
      <c r="I55" s="413"/>
      <c r="J55" s="414">
        <f t="shared" si="15"/>
        <v>87609600</v>
      </c>
      <c r="K55" s="421">
        <f t="shared" si="14"/>
        <v>6240000</v>
      </c>
      <c r="L55" s="414">
        <f t="shared" si="16"/>
        <v>17948736</v>
      </c>
      <c r="M55" s="414">
        <v>200</v>
      </c>
      <c r="N55" s="414">
        <f t="shared" si="17"/>
        <v>16286400</v>
      </c>
      <c r="O55" s="414"/>
      <c r="P55" s="414">
        <f t="shared" si="18"/>
        <v>128084736</v>
      </c>
    </row>
    <row r="56" spans="1:16" s="446" customFormat="1" ht="17.25" x14ac:dyDescent="0.3">
      <c r="A56" s="409">
        <v>46</v>
      </c>
      <c r="B56" s="432" t="s">
        <v>871</v>
      </c>
      <c r="C56" s="411">
        <v>3.06</v>
      </c>
      <c r="D56" s="444">
        <f t="shared" si="8"/>
        <v>0.4</v>
      </c>
      <c r="E56" s="413"/>
      <c r="F56" s="413"/>
      <c r="G56" s="413"/>
      <c r="H56" s="413">
        <v>0.4</v>
      </c>
      <c r="I56" s="413"/>
      <c r="J56" s="414">
        <f t="shared" si="15"/>
        <v>97156800</v>
      </c>
      <c r="K56" s="421">
        <f t="shared" si="14"/>
        <v>6240000</v>
      </c>
      <c r="L56" s="414">
        <f t="shared" si="16"/>
        <v>20192328</v>
      </c>
      <c r="M56" s="414">
        <v>200</v>
      </c>
      <c r="N56" s="414">
        <f t="shared" si="17"/>
        <v>18061200</v>
      </c>
      <c r="O56" s="414"/>
      <c r="P56" s="414">
        <f t="shared" si="18"/>
        <v>141650328</v>
      </c>
    </row>
    <row r="57" spans="1:16" s="447" customFormat="1" ht="17.25" x14ac:dyDescent="0.3">
      <c r="A57" s="409">
        <v>47</v>
      </c>
      <c r="B57" s="432" t="s">
        <v>872</v>
      </c>
      <c r="C57" s="411">
        <v>3.66</v>
      </c>
      <c r="D57" s="444">
        <f t="shared" si="8"/>
        <v>0.5</v>
      </c>
      <c r="E57" s="413"/>
      <c r="F57" s="413">
        <v>0</v>
      </c>
      <c r="G57" s="413"/>
      <c r="H57" s="413">
        <v>0.4</v>
      </c>
      <c r="I57" s="413">
        <v>0.1</v>
      </c>
      <c r="J57" s="414">
        <f t="shared" si="15"/>
        <v>116812800</v>
      </c>
      <c r="K57" s="421">
        <f t="shared" si="14"/>
        <v>6240000</v>
      </c>
      <c r="L57" s="414">
        <f t="shared" si="16"/>
        <v>24151608</v>
      </c>
      <c r="M57" s="414">
        <v>200</v>
      </c>
      <c r="N57" s="414">
        <f t="shared" si="17"/>
        <v>21715200</v>
      </c>
      <c r="O57" s="414">
        <f>0.33*2340000*3</f>
        <v>2316600</v>
      </c>
      <c r="P57" s="414">
        <f t="shared" si="18"/>
        <v>171236208</v>
      </c>
    </row>
    <row r="58" spans="1:16" s="447" customFormat="1" ht="17.25" x14ac:dyDescent="0.3">
      <c r="A58" s="409">
        <v>48</v>
      </c>
      <c r="B58" s="429" t="s">
        <v>873</v>
      </c>
      <c r="C58" s="411">
        <v>2.67</v>
      </c>
      <c r="D58" s="444">
        <f t="shared" si="8"/>
        <v>0.4</v>
      </c>
      <c r="E58" s="413"/>
      <c r="F58" s="413">
        <v>0</v>
      </c>
      <c r="G58" s="413"/>
      <c r="H58" s="413">
        <v>0.4</v>
      </c>
      <c r="I58" s="413">
        <v>0</v>
      </c>
      <c r="J58" s="414">
        <f>(C58+D58)*2340000*6*2</f>
        <v>86205600</v>
      </c>
      <c r="K58" s="421">
        <f t="shared" si="14"/>
        <v>6240000</v>
      </c>
      <c r="L58" s="414">
        <f t="shared" si="16"/>
        <v>17618796</v>
      </c>
      <c r="M58" s="414">
        <v>200</v>
      </c>
      <c r="N58" s="414">
        <f t="shared" si="17"/>
        <v>16025400</v>
      </c>
      <c r="O58" s="414">
        <f>0.33*2340000*8</f>
        <v>6177600</v>
      </c>
      <c r="P58" s="414">
        <f t="shared" si="18"/>
        <v>132267396</v>
      </c>
    </row>
    <row r="59" spans="1:16" s="446" customFormat="1" ht="17.25" x14ac:dyDescent="0.3">
      <c r="A59" s="409">
        <v>49</v>
      </c>
      <c r="B59" s="432" t="s">
        <v>874</v>
      </c>
      <c r="C59" s="411">
        <f>2.73+0.18</f>
        <v>2.91</v>
      </c>
      <c r="D59" s="444">
        <f t="shared" si="8"/>
        <v>0.4</v>
      </c>
      <c r="E59" s="413"/>
      <c r="F59" s="413"/>
      <c r="G59" s="413"/>
      <c r="H59" s="413">
        <v>0.4</v>
      </c>
      <c r="I59" s="413">
        <v>0</v>
      </c>
      <c r="J59" s="414">
        <f>(C59+D59)*2340000*6*2</f>
        <v>92944800</v>
      </c>
      <c r="K59" s="421">
        <f t="shared" si="14"/>
        <v>6240000</v>
      </c>
      <c r="L59" s="414">
        <f t="shared" si="16"/>
        <v>19202508</v>
      </c>
      <c r="M59" s="414">
        <v>200</v>
      </c>
      <c r="N59" s="414">
        <f t="shared" si="17"/>
        <v>17278200</v>
      </c>
      <c r="O59" s="414">
        <f>0.18*2340000*3</f>
        <v>1263600</v>
      </c>
      <c r="P59" s="414">
        <f t="shared" si="18"/>
        <v>136929108</v>
      </c>
    </row>
    <row r="60" spans="1:16" s="415" customFormat="1" x14ac:dyDescent="0.3">
      <c r="A60" s="409">
        <v>50</v>
      </c>
      <c r="B60" s="429" t="s">
        <v>875</v>
      </c>
      <c r="C60" s="411">
        <v>2.67</v>
      </c>
      <c r="D60" s="409">
        <f t="shared" si="8"/>
        <v>0.4</v>
      </c>
      <c r="E60" s="412"/>
      <c r="F60" s="413"/>
      <c r="G60" s="413"/>
      <c r="H60" s="413">
        <v>0.4</v>
      </c>
      <c r="I60" s="413"/>
      <c r="J60" s="414">
        <f t="shared" si="12"/>
        <v>86205600</v>
      </c>
      <c r="K60" s="414"/>
      <c r="L60" s="414">
        <f t="shared" si="9"/>
        <v>17618796</v>
      </c>
      <c r="M60" s="414">
        <v>200</v>
      </c>
      <c r="N60" s="414">
        <f t="shared" si="10"/>
        <v>16025400</v>
      </c>
      <c r="O60" s="414">
        <f>0.33*2340000*8</f>
        <v>6177600</v>
      </c>
      <c r="P60" s="414">
        <f t="shared" si="11"/>
        <v>126027396</v>
      </c>
    </row>
    <row r="61" spans="1:16" s="415" customFormat="1" x14ac:dyDescent="0.3">
      <c r="A61" s="409">
        <v>51</v>
      </c>
      <c r="B61" s="432" t="s">
        <v>876</v>
      </c>
      <c r="C61" s="411">
        <v>3.33</v>
      </c>
      <c r="D61" s="409">
        <f t="shared" si="8"/>
        <v>0.5</v>
      </c>
      <c r="E61" s="412"/>
      <c r="F61" s="413"/>
      <c r="G61" s="413"/>
      <c r="H61" s="413">
        <v>0.4</v>
      </c>
      <c r="I61" s="413">
        <v>0.1</v>
      </c>
      <c r="J61" s="414">
        <f t="shared" si="12"/>
        <v>107546400</v>
      </c>
      <c r="K61" s="414"/>
      <c r="L61" s="414">
        <f t="shared" si="9"/>
        <v>21974004</v>
      </c>
      <c r="M61" s="414">
        <v>200</v>
      </c>
      <c r="N61" s="414">
        <f t="shared" si="10"/>
        <v>19992600</v>
      </c>
      <c r="O61" s="414"/>
      <c r="P61" s="414">
        <f t="shared" si="11"/>
        <v>149513004</v>
      </c>
    </row>
    <row r="62" spans="1:16" s="415" customFormat="1" x14ac:dyDescent="0.3">
      <c r="A62" s="409">
        <v>52</v>
      </c>
      <c r="B62" s="432" t="s">
        <v>877</v>
      </c>
      <c r="C62" s="411">
        <v>3.33</v>
      </c>
      <c r="D62" s="409">
        <f t="shared" si="8"/>
        <v>0.5</v>
      </c>
      <c r="E62" s="412"/>
      <c r="F62" s="413"/>
      <c r="G62" s="413"/>
      <c r="H62" s="413">
        <v>0.4</v>
      </c>
      <c r="I62" s="413">
        <v>0.1</v>
      </c>
      <c r="J62" s="414">
        <f t="shared" si="12"/>
        <v>107546400</v>
      </c>
      <c r="K62" s="414"/>
      <c r="L62" s="414">
        <f t="shared" si="9"/>
        <v>21974004</v>
      </c>
      <c r="M62" s="414">
        <v>200</v>
      </c>
      <c r="N62" s="414">
        <f t="shared" si="10"/>
        <v>19992600</v>
      </c>
      <c r="O62" s="414"/>
      <c r="P62" s="414">
        <f t="shared" si="11"/>
        <v>149513004</v>
      </c>
    </row>
    <row r="63" spans="1:16" s="415" customFormat="1" ht="17.25" x14ac:dyDescent="0.3">
      <c r="A63" s="423" t="s">
        <v>283</v>
      </c>
      <c r="B63" s="424" t="s">
        <v>878</v>
      </c>
      <c r="C63" s="425">
        <f t="shared" ref="C63:L63" si="19">SUBTOTAL(9,C64:C75)</f>
        <v>26.1</v>
      </c>
      <c r="D63" s="425">
        <f t="shared" si="19"/>
        <v>5.3</v>
      </c>
      <c r="E63" s="425">
        <f t="shared" si="19"/>
        <v>0</v>
      </c>
      <c r="F63" s="425">
        <f t="shared" si="19"/>
        <v>0</v>
      </c>
      <c r="G63" s="425">
        <f t="shared" si="19"/>
        <v>0.3</v>
      </c>
      <c r="H63" s="425">
        <f t="shared" si="19"/>
        <v>4.8</v>
      </c>
      <c r="I63" s="425">
        <f t="shared" si="19"/>
        <v>0.2</v>
      </c>
      <c r="J63" s="448">
        <f t="shared" si="19"/>
        <v>881712000</v>
      </c>
      <c r="K63" s="448">
        <f t="shared" si="19"/>
        <v>55320000</v>
      </c>
      <c r="L63" s="448">
        <f t="shared" si="19"/>
        <v>172228680</v>
      </c>
      <c r="M63" s="448"/>
      <c r="N63" s="448">
        <f>SUBTOTAL(9,N64:N75)</f>
        <v>162342000</v>
      </c>
      <c r="O63" s="448">
        <f>SUBTOTAL(9,O64:O75)</f>
        <v>5054400</v>
      </c>
      <c r="P63" s="448">
        <f>SUBTOTAL(9,P64:P75)</f>
        <v>1271257080</v>
      </c>
    </row>
    <row r="64" spans="1:16" s="415" customFormat="1" x14ac:dyDescent="0.3">
      <c r="A64" s="409">
        <v>53</v>
      </c>
      <c r="B64" s="432" t="s">
        <v>879</v>
      </c>
      <c r="C64" s="411">
        <v>2.34</v>
      </c>
      <c r="D64" s="409">
        <f>E64+F64+G64+H64+I64</f>
        <v>0.4</v>
      </c>
      <c r="E64" s="412"/>
      <c r="F64" s="413">
        <v>0</v>
      </c>
      <c r="G64" s="413"/>
      <c r="H64" s="413">
        <v>0.4</v>
      </c>
      <c r="I64" s="413">
        <v>0</v>
      </c>
      <c r="J64" s="414">
        <f>(C64+D64)*2340000*12</f>
        <v>76939199.999999985</v>
      </c>
      <c r="K64" s="414">
        <f>15*15000*12</f>
        <v>2700000</v>
      </c>
      <c r="L64" s="414">
        <f>(C64+E64+F64)*2340000*23.5/100*12</f>
        <v>15441192</v>
      </c>
      <c r="M64" s="414">
        <v>200</v>
      </c>
      <c r="N64" s="414">
        <f>(C64+E64+F64+H64)*2340000/26/8*136*2+(C64+E64+F64+H64)*2340000/26/8*64*3</f>
        <v>14302799.999999998</v>
      </c>
      <c r="O64" s="414"/>
      <c r="P64" s="414">
        <f>J64+L64+N64+O64</f>
        <v>106683191.99999999</v>
      </c>
    </row>
    <row r="65" spans="1:17" s="415" customFormat="1" x14ac:dyDescent="0.3">
      <c r="A65" s="409">
        <v>54</v>
      </c>
      <c r="B65" s="432" t="s">
        <v>880</v>
      </c>
      <c r="C65" s="409">
        <v>2.0099999999999998</v>
      </c>
      <c r="D65" s="409">
        <f>E65+F65+G65+H65+I65</f>
        <v>0.4</v>
      </c>
      <c r="E65" s="412"/>
      <c r="F65" s="413"/>
      <c r="G65" s="413"/>
      <c r="H65" s="413">
        <v>0.4</v>
      </c>
      <c r="I65" s="413"/>
      <c r="J65" s="414">
        <f>(C65+D65)*2340000*12</f>
        <v>67672799.999999985</v>
      </c>
      <c r="K65" s="414">
        <f>15*15000*12</f>
        <v>2700000</v>
      </c>
      <c r="L65" s="414">
        <f>(C65+E65+F65)*2340000*23.5/100*12</f>
        <v>13263587.999999996</v>
      </c>
      <c r="M65" s="414">
        <v>200</v>
      </c>
      <c r="N65" s="414">
        <f>(C65+E65+F65+H65+I65)*2340000/26/8*136*2+(C65+E65+F65+H65+I65)*2340000/26/8*64*3</f>
        <v>12580199.999999998</v>
      </c>
      <c r="O65" s="414"/>
      <c r="P65" s="414">
        <f>J65+L65+N65+O65</f>
        <v>93516587.999999985</v>
      </c>
    </row>
    <row r="66" spans="1:17" s="415" customFormat="1" x14ac:dyDescent="0.3">
      <c r="A66" s="409">
        <v>55</v>
      </c>
      <c r="B66" s="429" t="s">
        <v>881</v>
      </c>
      <c r="C66" s="411">
        <v>2.34</v>
      </c>
      <c r="D66" s="409">
        <f>E66+F66+G66+H66+I66</f>
        <v>0.4</v>
      </c>
      <c r="E66" s="412"/>
      <c r="F66" s="413"/>
      <c r="G66" s="413"/>
      <c r="H66" s="413">
        <v>0.4</v>
      </c>
      <c r="I66" s="413"/>
      <c r="J66" s="414">
        <f>(C66+D66)*2340000*12</f>
        <v>76939199.999999985</v>
      </c>
      <c r="K66" s="414"/>
      <c r="L66" s="414">
        <f>(C66+E66+F66)*2340000*23.5/100*12</f>
        <v>15441192</v>
      </c>
      <c r="M66" s="414">
        <v>200</v>
      </c>
      <c r="N66" s="414">
        <f>(C66+E66+F66+H66)*2340000/26/8*136*2+(C66+E66+F66+H66)*2340000/26/8*64*3</f>
        <v>14302799.999999998</v>
      </c>
      <c r="O66" s="414"/>
      <c r="P66" s="414">
        <f>J66+L66+N66+O66</f>
        <v>106683191.99999999</v>
      </c>
    </row>
    <row r="67" spans="1:17" s="415" customFormat="1" x14ac:dyDescent="0.3">
      <c r="A67" s="409">
        <v>56</v>
      </c>
      <c r="B67" s="432" t="s">
        <v>882</v>
      </c>
      <c r="C67" s="409">
        <v>2.34</v>
      </c>
      <c r="D67" s="409">
        <f>E67+F67+G67+H67+I67</f>
        <v>0.4</v>
      </c>
      <c r="E67" s="412"/>
      <c r="F67" s="413"/>
      <c r="G67" s="413"/>
      <c r="H67" s="413">
        <v>0.4</v>
      </c>
      <c r="I67" s="413"/>
      <c r="J67" s="414">
        <f>(C67+D67)*2340000*12</f>
        <v>76939199.999999985</v>
      </c>
      <c r="K67" s="414"/>
      <c r="L67" s="414">
        <f>(C67+E67+F67)*2340000*23.5/100*12</f>
        <v>15441192</v>
      </c>
      <c r="M67" s="414">
        <v>200</v>
      </c>
      <c r="N67" s="414">
        <f>(C67+E67+F67+H67+I67)*2340000/26/8*136*2+(C67+E67+F67+H67+I67)*2340000/26/8*64*3</f>
        <v>14302799.999999998</v>
      </c>
      <c r="O67" s="414"/>
      <c r="P67" s="414">
        <f>J67+L67+N67+O67</f>
        <v>106683191.99999999</v>
      </c>
    </row>
    <row r="68" spans="1:17" s="446" customFormat="1" ht="17.25" x14ac:dyDescent="0.3">
      <c r="A68" s="409">
        <v>57</v>
      </c>
      <c r="B68" s="416" t="s">
        <v>883</v>
      </c>
      <c r="C68" s="419">
        <v>2.34</v>
      </c>
      <c r="D68" s="449">
        <f t="shared" ref="D68:D75" si="20">E68+F68+G68+H68+I68</f>
        <v>0.7</v>
      </c>
      <c r="E68" s="413"/>
      <c r="F68" s="413">
        <v>0</v>
      </c>
      <c r="G68" s="413">
        <v>0.3</v>
      </c>
      <c r="H68" s="413">
        <v>0.4</v>
      </c>
      <c r="I68" s="413">
        <v>0</v>
      </c>
      <c r="J68" s="421">
        <f>(C68+D68)*2340000*12</f>
        <v>85363200</v>
      </c>
      <c r="K68" s="421">
        <f t="shared" ref="K68:K75" si="21">26*20000*12</f>
        <v>6240000</v>
      </c>
      <c r="L68" s="421">
        <f>(C68+E68+F68)*2340000*23.5/100*12</f>
        <v>15441192</v>
      </c>
      <c r="M68" s="414">
        <v>200</v>
      </c>
      <c r="N68" s="414">
        <f>(C68+E68+F68+H68+I68)*2340000/26/8*136*2+(C68+E68+F68+H68+I68)*2340000/26/8*64*3</f>
        <v>14302799.999999998</v>
      </c>
      <c r="O68" s="421"/>
      <c r="P68" s="421">
        <f>J68+L68+N68+O68+K68</f>
        <v>121347192</v>
      </c>
      <c r="Q68" s="450"/>
    </row>
    <row r="69" spans="1:17" s="446" customFormat="1" ht="17.25" x14ac:dyDescent="0.3">
      <c r="A69" s="409">
        <v>58</v>
      </c>
      <c r="B69" s="416" t="s">
        <v>884</v>
      </c>
      <c r="C69" s="419">
        <v>1.65</v>
      </c>
      <c r="D69" s="409">
        <f t="shared" si="20"/>
        <v>0.4</v>
      </c>
      <c r="E69" s="413"/>
      <c r="F69" s="413">
        <v>0</v>
      </c>
      <c r="G69" s="413"/>
      <c r="H69" s="413">
        <v>0.4</v>
      </c>
      <c r="I69" s="413">
        <v>0</v>
      </c>
      <c r="J69" s="421">
        <f t="shared" ref="J69:J75" si="22">(C69+D69)*2340000*12</f>
        <v>57564000</v>
      </c>
      <c r="K69" s="421">
        <f t="shared" si="21"/>
        <v>6240000</v>
      </c>
      <c r="L69" s="421">
        <f t="shared" ref="L69:L75" si="23">(C69+E69+F69)*2340000*23.5/100*12</f>
        <v>10888020</v>
      </c>
      <c r="M69" s="414">
        <v>200</v>
      </c>
      <c r="N69" s="414">
        <f t="shared" ref="N69:N75" si="24">(C69+E69+F69+H69+I69)*2340000/26/8*136*2+(C69+E69+F69+H69+I69)*2340000/26/8*64*3</f>
        <v>10701000</v>
      </c>
      <c r="O69" s="421">
        <f>0.18*2340000*5</f>
        <v>2106000</v>
      </c>
      <c r="P69" s="421">
        <f t="shared" ref="P69:P75" si="25">J69+L69+N69+O69+K69</f>
        <v>87499020</v>
      </c>
    </row>
    <row r="70" spans="1:17" s="446" customFormat="1" ht="17.25" x14ac:dyDescent="0.3">
      <c r="A70" s="409">
        <v>59</v>
      </c>
      <c r="B70" s="416" t="s">
        <v>885</v>
      </c>
      <c r="C70" s="419">
        <v>2.34</v>
      </c>
      <c r="D70" s="409">
        <f t="shared" si="20"/>
        <v>0.4</v>
      </c>
      <c r="E70" s="413"/>
      <c r="F70" s="413"/>
      <c r="G70" s="413"/>
      <c r="H70" s="413">
        <v>0.4</v>
      </c>
      <c r="I70" s="413"/>
      <c r="J70" s="421">
        <f t="shared" si="22"/>
        <v>76939199.999999985</v>
      </c>
      <c r="K70" s="421">
        <f t="shared" si="21"/>
        <v>6240000</v>
      </c>
      <c r="L70" s="421">
        <f t="shared" si="23"/>
        <v>15441192</v>
      </c>
      <c r="M70" s="414">
        <v>200</v>
      </c>
      <c r="N70" s="414">
        <f t="shared" si="24"/>
        <v>14302799.999999998</v>
      </c>
      <c r="O70" s="421"/>
      <c r="P70" s="421">
        <f t="shared" si="25"/>
        <v>112923191.99999999</v>
      </c>
    </row>
    <row r="71" spans="1:17" s="446" customFormat="1" ht="17.25" x14ac:dyDescent="0.3">
      <c r="A71" s="409">
        <v>60</v>
      </c>
      <c r="B71" s="416" t="s">
        <v>886</v>
      </c>
      <c r="C71" s="419">
        <v>2.1</v>
      </c>
      <c r="D71" s="409">
        <f t="shared" si="20"/>
        <v>0.4</v>
      </c>
      <c r="E71" s="413"/>
      <c r="F71" s="413"/>
      <c r="G71" s="413"/>
      <c r="H71" s="413">
        <v>0.4</v>
      </c>
      <c r="I71" s="413"/>
      <c r="J71" s="421">
        <f t="shared" si="22"/>
        <v>70200000</v>
      </c>
      <c r="K71" s="421">
        <f t="shared" si="21"/>
        <v>6240000</v>
      </c>
      <c r="L71" s="421">
        <f t="shared" si="23"/>
        <v>13857480</v>
      </c>
      <c r="M71" s="414">
        <v>200</v>
      </c>
      <c r="N71" s="414">
        <f t="shared" si="24"/>
        <v>13050000</v>
      </c>
      <c r="O71" s="421"/>
      <c r="P71" s="421">
        <f t="shared" si="25"/>
        <v>103347480</v>
      </c>
    </row>
    <row r="72" spans="1:17" s="422" customFormat="1" ht="17.25" x14ac:dyDescent="0.3">
      <c r="A72" s="409">
        <v>61</v>
      </c>
      <c r="B72" s="418" t="s">
        <v>887</v>
      </c>
      <c r="C72" s="419">
        <v>2.19</v>
      </c>
      <c r="D72" s="409">
        <f t="shared" si="20"/>
        <v>0.5</v>
      </c>
      <c r="E72" s="419"/>
      <c r="F72" s="419"/>
      <c r="G72" s="419"/>
      <c r="H72" s="419">
        <v>0.4</v>
      </c>
      <c r="I72" s="419">
        <v>0.1</v>
      </c>
      <c r="J72" s="421">
        <f t="shared" si="22"/>
        <v>75535200</v>
      </c>
      <c r="K72" s="421">
        <f t="shared" si="21"/>
        <v>6240000</v>
      </c>
      <c r="L72" s="421">
        <f t="shared" si="23"/>
        <v>14451372</v>
      </c>
      <c r="M72" s="414">
        <v>200</v>
      </c>
      <c r="N72" s="414">
        <f t="shared" si="24"/>
        <v>14041800</v>
      </c>
      <c r="O72" s="421"/>
      <c r="P72" s="421">
        <f t="shared" si="25"/>
        <v>110268372</v>
      </c>
    </row>
    <row r="73" spans="1:17" s="422" customFormat="1" ht="17.25" x14ac:dyDescent="0.3">
      <c r="A73" s="409">
        <v>62</v>
      </c>
      <c r="B73" s="418" t="s">
        <v>888</v>
      </c>
      <c r="C73" s="419">
        <v>2.1</v>
      </c>
      <c r="D73" s="409">
        <f t="shared" si="20"/>
        <v>0.4</v>
      </c>
      <c r="E73" s="419"/>
      <c r="F73" s="419"/>
      <c r="G73" s="419"/>
      <c r="H73" s="419">
        <v>0.4</v>
      </c>
      <c r="I73" s="419"/>
      <c r="J73" s="421">
        <f t="shared" si="22"/>
        <v>70200000</v>
      </c>
      <c r="K73" s="421">
        <f t="shared" si="21"/>
        <v>6240000</v>
      </c>
      <c r="L73" s="421">
        <f t="shared" si="23"/>
        <v>13857480</v>
      </c>
      <c r="M73" s="414">
        <v>200</v>
      </c>
      <c r="N73" s="414">
        <f t="shared" si="24"/>
        <v>13050000</v>
      </c>
      <c r="O73" s="421"/>
      <c r="P73" s="421">
        <f t="shared" si="25"/>
        <v>103347480</v>
      </c>
    </row>
    <row r="74" spans="1:17" s="446" customFormat="1" ht="17.25" x14ac:dyDescent="0.3">
      <c r="A74" s="409">
        <v>63</v>
      </c>
      <c r="B74" s="429" t="s">
        <v>889</v>
      </c>
      <c r="C74" s="409">
        <v>2.34</v>
      </c>
      <c r="D74" s="409">
        <f t="shared" si="20"/>
        <v>0.4</v>
      </c>
      <c r="E74" s="413"/>
      <c r="F74" s="413">
        <v>0</v>
      </c>
      <c r="G74" s="413"/>
      <c r="H74" s="413">
        <v>0.4</v>
      </c>
      <c r="I74" s="413">
        <v>0</v>
      </c>
      <c r="J74" s="414">
        <f>(C74+D74)*2340000*12</f>
        <v>76939199.999999985</v>
      </c>
      <c r="K74" s="421">
        <f t="shared" si="21"/>
        <v>6240000</v>
      </c>
      <c r="L74" s="421">
        <f t="shared" si="23"/>
        <v>15441192</v>
      </c>
      <c r="M74" s="414">
        <v>200</v>
      </c>
      <c r="N74" s="414">
        <f t="shared" si="24"/>
        <v>14302799.999999998</v>
      </c>
      <c r="O74" s="414"/>
      <c r="P74" s="421">
        <f t="shared" si="25"/>
        <v>112923191.99999999</v>
      </c>
    </row>
    <row r="75" spans="1:17" s="422" customFormat="1" ht="17.25" x14ac:dyDescent="0.3">
      <c r="A75" s="409">
        <v>64</v>
      </c>
      <c r="B75" s="418" t="s">
        <v>890</v>
      </c>
      <c r="C75" s="419">
        <v>2.0099999999999998</v>
      </c>
      <c r="D75" s="432">
        <f t="shared" si="20"/>
        <v>0.5</v>
      </c>
      <c r="E75" s="419"/>
      <c r="F75" s="419"/>
      <c r="G75" s="419"/>
      <c r="H75" s="419">
        <v>0.4</v>
      </c>
      <c r="I75" s="419">
        <v>0.1</v>
      </c>
      <c r="J75" s="421">
        <f t="shared" si="22"/>
        <v>70480799.999999985</v>
      </c>
      <c r="K75" s="421">
        <f t="shared" si="21"/>
        <v>6240000</v>
      </c>
      <c r="L75" s="421">
        <f t="shared" si="23"/>
        <v>13263587.999999996</v>
      </c>
      <c r="M75" s="414">
        <v>200</v>
      </c>
      <c r="N75" s="414">
        <f t="shared" si="24"/>
        <v>13102199.999999998</v>
      </c>
      <c r="O75" s="421">
        <f>0.18*2340000*7</f>
        <v>2948400</v>
      </c>
      <c r="P75" s="421">
        <f t="shared" si="25"/>
        <v>106034987.99999999</v>
      </c>
    </row>
    <row r="76" spans="1:17" s="415" customFormat="1" x14ac:dyDescent="0.3">
      <c r="A76" s="451"/>
      <c r="B76" s="451" t="s">
        <v>62</v>
      </c>
      <c r="C76" s="405">
        <f t="shared" ref="C76:L76" si="26">C25+C8</f>
        <v>199.09999999999997</v>
      </c>
      <c r="D76" s="405">
        <f t="shared" si="26"/>
        <v>33.046000000000006</v>
      </c>
      <c r="E76" s="406">
        <f t="shared" si="26"/>
        <v>1.996</v>
      </c>
      <c r="F76" s="405">
        <f t="shared" si="26"/>
        <v>1</v>
      </c>
      <c r="G76" s="405">
        <f t="shared" si="26"/>
        <v>2.4</v>
      </c>
      <c r="H76" s="405">
        <f t="shared" si="26"/>
        <v>25.600000000000009</v>
      </c>
      <c r="I76" s="405">
        <f t="shared" si="26"/>
        <v>2.0499999999999998</v>
      </c>
      <c r="J76" s="407">
        <f t="shared" si="26"/>
        <v>6518659680</v>
      </c>
      <c r="K76" s="407">
        <f t="shared" si="26"/>
        <v>211200000</v>
      </c>
      <c r="L76" s="407">
        <f t="shared" si="26"/>
        <v>1333591084.8</v>
      </c>
      <c r="M76" s="407"/>
      <c r="N76" s="407">
        <f>N25+N8</f>
        <v>1199274120</v>
      </c>
      <c r="O76" s="407">
        <f>O25+O8</f>
        <v>77561640</v>
      </c>
      <c r="P76" s="407">
        <f>P25+P8</f>
        <v>9253886524.7999992</v>
      </c>
    </row>
    <row r="77" spans="1:17" x14ac:dyDescent="0.25">
      <c r="B77" s="21"/>
      <c r="Q77" s="20"/>
    </row>
    <row r="78" spans="1:17" x14ac:dyDescent="0.25">
      <c r="A78" s="21"/>
      <c r="B78" s="32"/>
      <c r="C78" s="21"/>
      <c r="D78" s="21"/>
      <c r="E78" s="53"/>
      <c r="F78" s="53"/>
      <c r="G78" s="54"/>
      <c r="H78" s="53"/>
      <c r="I78" s="53"/>
      <c r="J78" s="21"/>
      <c r="K78" s="21"/>
      <c r="L78" s="21"/>
      <c r="M78" s="21"/>
      <c r="N78" s="21"/>
      <c r="O78" s="21"/>
      <c r="P78" s="21"/>
    </row>
    <row r="79" spans="1:17" x14ac:dyDescent="0.25">
      <c r="A79" s="21"/>
      <c r="B79" s="32"/>
      <c r="C79" s="21"/>
      <c r="D79" s="21"/>
      <c r="E79" s="53"/>
      <c r="F79" s="53"/>
      <c r="G79" s="53"/>
      <c r="H79" s="53"/>
      <c r="I79" s="53"/>
      <c r="J79" s="21"/>
      <c r="K79" s="21"/>
      <c r="L79" s="21"/>
      <c r="M79" s="21"/>
      <c r="N79" s="285"/>
      <c r="O79" s="21"/>
      <c r="P79" s="21"/>
    </row>
    <row r="86" spans="1:17" s="2" customFormat="1" x14ac:dyDescent="0.25">
      <c r="A86" s="33"/>
      <c r="B86" s="34"/>
      <c r="C86" s="47"/>
      <c r="D86" s="47"/>
      <c r="E86" s="452"/>
      <c r="J86" s="50"/>
      <c r="K86" s="50"/>
      <c r="L86" s="50"/>
      <c r="M86" s="50"/>
      <c r="N86" s="50"/>
      <c r="O86" s="50"/>
      <c r="P86" s="50"/>
      <c r="Q86" s="21"/>
    </row>
    <row r="87" spans="1:17" s="2" customFormat="1" x14ac:dyDescent="0.25">
      <c r="A87" s="33"/>
      <c r="B87" s="34"/>
      <c r="C87" s="47"/>
      <c r="D87" s="47"/>
      <c r="E87" s="452"/>
      <c r="J87" s="50"/>
      <c r="K87" s="50"/>
      <c r="L87" s="50"/>
      <c r="M87" s="50"/>
      <c r="N87" s="50"/>
      <c r="O87" s="50"/>
      <c r="P87" s="50"/>
      <c r="Q87" s="21"/>
    </row>
  </sheetData>
  <mergeCells count="15">
    <mergeCell ref="K5:K6"/>
    <mergeCell ref="L5:L6"/>
    <mergeCell ref="M5:N5"/>
    <mergeCell ref="O5:O6"/>
    <mergeCell ref="P5:P6"/>
    <mergeCell ref="A1:D1"/>
    <mergeCell ref="O1:P1"/>
    <mergeCell ref="A2:D2"/>
    <mergeCell ref="A3:P3"/>
    <mergeCell ref="O4:P4"/>
    <mergeCell ref="A5:A6"/>
    <mergeCell ref="B5:B6"/>
    <mergeCell ref="C5:C6"/>
    <mergeCell ref="D5:I5"/>
    <mergeCell ref="J5:J6"/>
  </mergeCells>
  <pageMargins left="0.7" right="0.7" top="0.75" bottom="0.75" header="0.3" footer="0.3"/>
  <pageSetup paperSize="9" scale="63" fitToWidth="0" fitToHeight="0"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zoomScale="80" zoomScaleNormal="80" workbookViewId="0">
      <selection activeCell="A3" sqref="A3:O3"/>
    </sheetView>
  </sheetViews>
  <sheetFormatPr defaultRowHeight="15.75" x14ac:dyDescent="0.25"/>
  <cols>
    <col min="1" max="1" width="4.8984375" style="481" customWidth="1"/>
    <col min="2" max="2" width="29.5" style="483" customWidth="1"/>
    <col min="3" max="3" width="6.5" style="459" customWidth="1"/>
    <col min="4" max="4" width="7.8984375" style="459" customWidth="1"/>
    <col min="5" max="5" width="8" style="453" customWidth="1"/>
    <col min="6" max="6" width="5.8984375" style="453" customWidth="1"/>
    <col min="7" max="7" width="6.69921875" style="453" customWidth="1"/>
    <col min="8" max="8" width="7.5" style="453" customWidth="1"/>
    <col min="9" max="9" width="7.19921875" style="453" customWidth="1"/>
    <col min="10" max="10" width="11.796875" style="454" customWidth="1"/>
    <col min="11" max="12" width="10.8984375" style="454" customWidth="1"/>
    <col min="13" max="13" width="8.59765625" style="454" customWidth="1"/>
    <col min="14" max="14" width="10.8984375" style="454" customWidth="1"/>
    <col min="15" max="15" width="14" style="454" customWidth="1"/>
    <col min="16" max="16" width="11.59765625" style="455" bestFit="1" customWidth="1"/>
    <col min="17" max="255" width="8.69921875" style="455"/>
    <col min="256" max="256" width="4.09765625" style="455" bestFit="1" customWidth="1"/>
    <col min="257" max="257" width="21.5" style="455" customWidth="1"/>
    <col min="258" max="258" width="7.5" style="455" customWidth="1"/>
    <col min="259" max="259" width="9" style="455" customWidth="1"/>
    <col min="260" max="260" width="8" style="455" customWidth="1"/>
    <col min="261" max="261" width="5.8984375" style="455" customWidth="1"/>
    <col min="262" max="262" width="6.69921875" style="455" customWidth="1"/>
    <col min="263" max="263" width="7.5" style="455" customWidth="1"/>
    <col min="264" max="264" width="7.19921875" style="455" customWidth="1"/>
    <col min="265" max="265" width="15.5" style="455" bestFit="1" customWidth="1"/>
    <col min="266" max="266" width="12.796875" style="455" customWidth="1"/>
    <col min="267" max="267" width="7.5" style="455" customWidth="1"/>
    <col min="268" max="268" width="15.5" style="455" bestFit="1" customWidth="1"/>
    <col min="269" max="269" width="13" style="455" customWidth="1"/>
    <col min="270" max="270" width="11.8984375" style="455" customWidth="1"/>
    <col min="271" max="271" width="16.796875" style="455" bestFit="1" customWidth="1"/>
    <col min="272" max="272" width="11.59765625" style="455" bestFit="1" customWidth="1"/>
    <col min="273" max="511" width="8.69921875" style="455"/>
    <col min="512" max="512" width="4.09765625" style="455" bestFit="1" customWidth="1"/>
    <col min="513" max="513" width="21.5" style="455" customWidth="1"/>
    <col min="514" max="514" width="7.5" style="455" customWidth="1"/>
    <col min="515" max="515" width="9" style="455" customWidth="1"/>
    <col min="516" max="516" width="8" style="455" customWidth="1"/>
    <col min="517" max="517" width="5.8984375" style="455" customWidth="1"/>
    <col min="518" max="518" width="6.69921875" style="455" customWidth="1"/>
    <col min="519" max="519" width="7.5" style="455" customWidth="1"/>
    <col min="520" max="520" width="7.19921875" style="455" customWidth="1"/>
    <col min="521" max="521" width="15.5" style="455" bestFit="1" customWidth="1"/>
    <col min="522" max="522" width="12.796875" style="455" customWidth="1"/>
    <col min="523" max="523" width="7.5" style="455" customWidth="1"/>
    <col min="524" max="524" width="15.5" style="455" bestFit="1" customWidth="1"/>
    <col min="525" max="525" width="13" style="455" customWidth="1"/>
    <col min="526" max="526" width="11.8984375" style="455" customWidth="1"/>
    <col min="527" max="527" width="16.796875" style="455" bestFit="1" customWidth="1"/>
    <col min="528" max="528" width="11.59765625" style="455" bestFit="1" customWidth="1"/>
    <col min="529" max="767" width="8.69921875" style="455"/>
    <col min="768" max="768" width="4.09765625" style="455" bestFit="1" customWidth="1"/>
    <col min="769" max="769" width="21.5" style="455" customWidth="1"/>
    <col min="770" max="770" width="7.5" style="455" customWidth="1"/>
    <col min="771" max="771" width="9" style="455" customWidth="1"/>
    <col min="772" max="772" width="8" style="455" customWidth="1"/>
    <col min="773" max="773" width="5.8984375" style="455" customWidth="1"/>
    <col min="774" max="774" width="6.69921875" style="455" customWidth="1"/>
    <col min="775" max="775" width="7.5" style="455" customWidth="1"/>
    <col min="776" max="776" width="7.19921875" style="455" customWidth="1"/>
    <col min="777" max="777" width="15.5" style="455" bestFit="1" customWidth="1"/>
    <col min="778" max="778" width="12.796875" style="455" customWidth="1"/>
    <col min="779" max="779" width="7.5" style="455" customWidth="1"/>
    <col min="780" max="780" width="15.5" style="455" bestFit="1" customWidth="1"/>
    <col min="781" max="781" width="13" style="455" customWidth="1"/>
    <col min="782" max="782" width="11.8984375" style="455" customWidth="1"/>
    <col min="783" max="783" width="16.796875" style="455" bestFit="1" customWidth="1"/>
    <col min="784" max="784" width="11.59765625" style="455" bestFit="1" customWidth="1"/>
    <col min="785" max="1023" width="8.69921875" style="455"/>
    <col min="1024" max="1024" width="4.09765625" style="455" bestFit="1" customWidth="1"/>
    <col min="1025" max="1025" width="21.5" style="455" customWidth="1"/>
    <col min="1026" max="1026" width="7.5" style="455" customWidth="1"/>
    <col min="1027" max="1027" width="9" style="455" customWidth="1"/>
    <col min="1028" max="1028" width="8" style="455" customWidth="1"/>
    <col min="1029" max="1029" width="5.8984375" style="455" customWidth="1"/>
    <col min="1030" max="1030" width="6.69921875" style="455" customWidth="1"/>
    <col min="1031" max="1031" width="7.5" style="455" customWidth="1"/>
    <col min="1032" max="1032" width="7.19921875" style="455" customWidth="1"/>
    <col min="1033" max="1033" width="15.5" style="455" bestFit="1" customWidth="1"/>
    <col min="1034" max="1034" width="12.796875" style="455" customWidth="1"/>
    <col min="1035" max="1035" width="7.5" style="455" customWidth="1"/>
    <col min="1036" max="1036" width="15.5" style="455" bestFit="1" customWidth="1"/>
    <col min="1037" max="1037" width="13" style="455" customWidth="1"/>
    <col min="1038" max="1038" width="11.8984375" style="455" customWidth="1"/>
    <col min="1039" max="1039" width="16.796875" style="455" bestFit="1" customWidth="1"/>
    <col min="1040" max="1040" width="11.59765625" style="455" bestFit="1" customWidth="1"/>
    <col min="1041" max="1279" width="8.69921875" style="455"/>
    <col min="1280" max="1280" width="4.09765625" style="455" bestFit="1" customWidth="1"/>
    <col min="1281" max="1281" width="21.5" style="455" customWidth="1"/>
    <col min="1282" max="1282" width="7.5" style="455" customWidth="1"/>
    <col min="1283" max="1283" width="9" style="455" customWidth="1"/>
    <col min="1284" max="1284" width="8" style="455" customWidth="1"/>
    <col min="1285" max="1285" width="5.8984375" style="455" customWidth="1"/>
    <col min="1286" max="1286" width="6.69921875" style="455" customWidth="1"/>
    <col min="1287" max="1287" width="7.5" style="455" customWidth="1"/>
    <col min="1288" max="1288" width="7.19921875" style="455" customWidth="1"/>
    <col min="1289" max="1289" width="15.5" style="455" bestFit="1" customWidth="1"/>
    <col min="1290" max="1290" width="12.796875" style="455" customWidth="1"/>
    <col min="1291" max="1291" width="7.5" style="455" customWidth="1"/>
    <col min="1292" max="1292" width="15.5" style="455" bestFit="1" customWidth="1"/>
    <col min="1293" max="1293" width="13" style="455" customWidth="1"/>
    <col min="1294" max="1294" width="11.8984375" style="455" customWidth="1"/>
    <col min="1295" max="1295" width="16.796875" style="455" bestFit="1" customWidth="1"/>
    <col min="1296" max="1296" width="11.59765625" style="455" bestFit="1" customWidth="1"/>
    <col min="1297" max="1535" width="8.69921875" style="455"/>
    <col min="1536" max="1536" width="4.09765625" style="455" bestFit="1" customWidth="1"/>
    <col min="1537" max="1537" width="21.5" style="455" customWidth="1"/>
    <col min="1538" max="1538" width="7.5" style="455" customWidth="1"/>
    <col min="1539" max="1539" width="9" style="455" customWidth="1"/>
    <col min="1540" max="1540" width="8" style="455" customWidth="1"/>
    <col min="1541" max="1541" width="5.8984375" style="455" customWidth="1"/>
    <col min="1542" max="1542" width="6.69921875" style="455" customWidth="1"/>
    <col min="1543" max="1543" width="7.5" style="455" customWidth="1"/>
    <col min="1544" max="1544" width="7.19921875" style="455" customWidth="1"/>
    <col min="1545" max="1545" width="15.5" style="455" bestFit="1" customWidth="1"/>
    <col min="1546" max="1546" width="12.796875" style="455" customWidth="1"/>
    <col min="1547" max="1547" width="7.5" style="455" customWidth="1"/>
    <col min="1548" max="1548" width="15.5" style="455" bestFit="1" customWidth="1"/>
    <col min="1549" max="1549" width="13" style="455" customWidth="1"/>
    <col min="1550" max="1550" width="11.8984375" style="455" customWidth="1"/>
    <col min="1551" max="1551" width="16.796875" style="455" bestFit="1" customWidth="1"/>
    <col min="1552" max="1552" width="11.59765625" style="455" bestFit="1" customWidth="1"/>
    <col min="1553" max="1791" width="8.69921875" style="455"/>
    <col min="1792" max="1792" width="4.09765625" style="455" bestFit="1" customWidth="1"/>
    <col min="1793" max="1793" width="21.5" style="455" customWidth="1"/>
    <col min="1794" max="1794" width="7.5" style="455" customWidth="1"/>
    <col min="1795" max="1795" width="9" style="455" customWidth="1"/>
    <col min="1796" max="1796" width="8" style="455" customWidth="1"/>
    <col min="1797" max="1797" width="5.8984375" style="455" customWidth="1"/>
    <col min="1798" max="1798" width="6.69921875" style="455" customWidth="1"/>
    <col min="1799" max="1799" width="7.5" style="455" customWidth="1"/>
    <col min="1800" max="1800" width="7.19921875" style="455" customWidth="1"/>
    <col min="1801" max="1801" width="15.5" style="455" bestFit="1" customWidth="1"/>
    <col min="1802" max="1802" width="12.796875" style="455" customWidth="1"/>
    <col min="1803" max="1803" width="7.5" style="455" customWidth="1"/>
    <col min="1804" max="1804" width="15.5" style="455" bestFit="1" customWidth="1"/>
    <col min="1805" max="1805" width="13" style="455" customWidth="1"/>
    <col min="1806" max="1806" width="11.8984375" style="455" customWidth="1"/>
    <col min="1807" max="1807" width="16.796875" style="455" bestFit="1" customWidth="1"/>
    <col min="1808" max="1808" width="11.59765625" style="455" bestFit="1" customWidth="1"/>
    <col min="1809" max="2047" width="8.69921875" style="455"/>
    <col min="2048" max="2048" width="4.09765625" style="455" bestFit="1" customWidth="1"/>
    <col min="2049" max="2049" width="21.5" style="455" customWidth="1"/>
    <col min="2050" max="2050" width="7.5" style="455" customWidth="1"/>
    <col min="2051" max="2051" width="9" style="455" customWidth="1"/>
    <col min="2052" max="2052" width="8" style="455" customWidth="1"/>
    <col min="2053" max="2053" width="5.8984375" style="455" customWidth="1"/>
    <col min="2054" max="2054" width="6.69921875" style="455" customWidth="1"/>
    <col min="2055" max="2055" width="7.5" style="455" customWidth="1"/>
    <col min="2056" max="2056" width="7.19921875" style="455" customWidth="1"/>
    <col min="2057" max="2057" width="15.5" style="455" bestFit="1" customWidth="1"/>
    <col min="2058" max="2058" width="12.796875" style="455" customWidth="1"/>
    <col min="2059" max="2059" width="7.5" style="455" customWidth="1"/>
    <col min="2060" max="2060" width="15.5" style="455" bestFit="1" customWidth="1"/>
    <col min="2061" max="2061" width="13" style="455" customWidth="1"/>
    <col min="2062" max="2062" width="11.8984375" style="455" customWidth="1"/>
    <col min="2063" max="2063" width="16.796875" style="455" bestFit="1" customWidth="1"/>
    <col min="2064" max="2064" width="11.59765625" style="455" bestFit="1" customWidth="1"/>
    <col min="2065" max="2303" width="8.69921875" style="455"/>
    <col min="2304" max="2304" width="4.09765625" style="455" bestFit="1" customWidth="1"/>
    <col min="2305" max="2305" width="21.5" style="455" customWidth="1"/>
    <col min="2306" max="2306" width="7.5" style="455" customWidth="1"/>
    <col min="2307" max="2307" width="9" style="455" customWidth="1"/>
    <col min="2308" max="2308" width="8" style="455" customWidth="1"/>
    <col min="2309" max="2309" width="5.8984375" style="455" customWidth="1"/>
    <col min="2310" max="2310" width="6.69921875" style="455" customWidth="1"/>
    <col min="2311" max="2311" width="7.5" style="455" customWidth="1"/>
    <col min="2312" max="2312" width="7.19921875" style="455" customWidth="1"/>
    <col min="2313" max="2313" width="15.5" style="455" bestFit="1" customWidth="1"/>
    <col min="2314" max="2314" width="12.796875" style="455" customWidth="1"/>
    <col min="2315" max="2315" width="7.5" style="455" customWidth="1"/>
    <col min="2316" max="2316" width="15.5" style="455" bestFit="1" customWidth="1"/>
    <col min="2317" max="2317" width="13" style="455" customWidth="1"/>
    <col min="2318" max="2318" width="11.8984375" style="455" customWidth="1"/>
    <col min="2319" max="2319" width="16.796875" style="455" bestFit="1" customWidth="1"/>
    <col min="2320" max="2320" width="11.59765625" style="455" bestFit="1" customWidth="1"/>
    <col min="2321" max="2559" width="8.69921875" style="455"/>
    <col min="2560" max="2560" width="4.09765625" style="455" bestFit="1" customWidth="1"/>
    <col min="2561" max="2561" width="21.5" style="455" customWidth="1"/>
    <col min="2562" max="2562" width="7.5" style="455" customWidth="1"/>
    <col min="2563" max="2563" width="9" style="455" customWidth="1"/>
    <col min="2564" max="2564" width="8" style="455" customWidth="1"/>
    <col min="2565" max="2565" width="5.8984375" style="455" customWidth="1"/>
    <col min="2566" max="2566" width="6.69921875" style="455" customWidth="1"/>
    <col min="2567" max="2567" width="7.5" style="455" customWidth="1"/>
    <col min="2568" max="2568" width="7.19921875" style="455" customWidth="1"/>
    <col min="2569" max="2569" width="15.5" style="455" bestFit="1" customWidth="1"/>
    <col min="2570" max="2570" width="12.796875" style="455" customWidth="1"/>
    <col min="2571" max="2571" width="7.5" style="455" customWidth="1"/>
    <col min="2572" max="2572" width="15.5" style="455" bestFit="1" customWidth="1"/>
    <col min="2573" max="2573" width="13" style="455" customWidth="1"/>
    <col min="2574" max="2574" width="11.8984375" style="455" customWidth="1"/>
    <col min="2575" max="2575" width="16.796875" style="455" bestFit="1" customWidth="1"/>
    <col min="2576" max="2576" width="11.59765625" style="455" bestFit="1" customWidth="1"/>
    <col min="2577" max="2815" width="8.69921875" style="455"/>
    <col min="2816" max="2816" width="4.09765625" style="455" bestFit="1" customWidth="1"/>
    <col min="2817" max="2817" width="21.5" style="455" customWidth="1"/>
    <col min="2818" max="2818" width="7.5" style="455" customWidth="1"/>
    <col min="2819" max="2819" width="9" style="455" customWidth="1"/>
    <col min="2820" max="2820" width="8" style="455" customWidth="1"/>
    <col min="2821" max="2821" width="5.8984375" style="455" customWidth="1"/>
    <col min="2822" max="2822" width="6.69921875" style="455" customWidth="1"/>
    <col min="2823" max="2823" width="7.5" style="455" customWidth="1"/>
    <col min="2824" max="2824" width="7.19921875" style="455" customWidth="1"/>
    <col min="2825" max="2825" width="15.5" style="455" bestFit="1" customWidth="1"/>
    <col min="2826" max="2826" width="12.796875" style="455" customWidth="1"/>
    <col min="2827" max="2827" width="7.5" style="455" customWidth="1"/>
    <col min="2828" max="2828" width="15.5" style="455" bestFit="1" customWidth="1"/>
    <col min="2829" max="2829" width="13" style="455" customWidth="1"/>
    <col min="2830" max="2830" width="11.8984375" style="455" customWidth="1"/>
    <col min="2831" max="2831" width="16.796875" style="455" bestFit="1" customWidth="1"/>
    <col min="2832" max="2832" width="11.59765625" style="455" bestFit="1" customWidth="1"/>
    <col min="2833" max="3071" width="8.69921875" style="455"/>
    <col min="3072" max="3072" width="4.09765625" style="455" bestFit="1" customWidth="1"/>
    <col min="3073" max="3073" width="21.5" style="455" customWidth="1"/>
    <col min="3074" max="3074" width="7.5" style="455" customWidth="1"/>
    <col min="3075" max="3075" width="9" style="455" customWidth="1"/>
    <col min="3076" max="3076" width="8" style="455" customWidth="1"/>
    <col min="3077" max="3077" width="5.8984375" style="455" customWidth="1"/>
    <col min="3078" max="3078" width="6.69921875" style="455" customWidth="1"/>
    <col min="3079" max="3079" width="7.5" style="455" customWidth="1"/>
    <col min="3080" max="3080" width="7.19921875" style="455" customWidth="1"/>
    <col min="3081" max="3081" width="15.5" style="455" bestFit="1" customWidth="1"/>
    <col min="3082" max="3082" width="12.796875" style="455" customWidth="1"/>
    <col min="3083" max="3083" width="7.5" style="455" customWidth="1"/>
    <col min="3084" max="3084" width="15.5" style="455" bestFit="1" customWidth="1"/>
    <col min="3085" max="3085" width="13" style="455" customWidth="1"/>
    <col min="3086" max="3086" width="11.8984375" style="455" customWidth="1"/>
    <col min="3087" max="3087" width="16.796875" style="455" bestFit="1" customWidth="1"/>
    <col min="3088" max="3088" width="11.59765625" style="455" bestFit="1" customWidth="1"/>
    <col min="3089" max="3327" width="8.69921875" style="455"/>
    <col min="3328" max="3328" width="4.09765625" style="455" bestFit="1" customWidth="1"/>
    <col min="3329" max="3329" width="21.5" style="455" customWidth="1"/>
    <col min="3330" max="3330" width="7.5" style="455" customWidth="1"/>
    <col min="3331" max="3331" width="9" style="455" customWidth="1"/>
    <col min="3332" max="3332" width="8" style="455" customWidth="1"/>
    <col min="3333" max="3333" width="5.8984375" style="455" customWidth="1"/>
    <col min="3334" max="3334" width="6.69921875" style="455" customWidth="1"/>
    <col min="3335" max="3335" width="7.5" style="455" customWidth="1"/>
    <col min="3336" max="3336" width="7.19921875" style="455" customWidth="1"/>
    <col min="3337" max="3337" width="15.5" style="455" bestFit="1" customWidth="1"/>
    <col min="3338" max="3338" width="12.796875" style="455" customWidth="1"/>
    <col min="3339" max="3339" width="7.5" style="455" customWidth="1"/>
    <col min="3340" max="3340" width="15.5" style="455" bestFit="1" customWidth="1"/>
    <col min="3341" max="3341" width="13" style="455" customWidth="1"/>
    <col min="3342" max="3342" width="11.8984375" style="455" customWidth="1"/>
    <col min="3343" max="3343" width="16.796875" style="455" bestFit="1" customWidth="1"/>
    <col min="3344" max="3344" width="11.59765625" style="455" bestFit="1" customWidth="1"/>
    <col min="3345" max="3583" width="8.69921875" style="455"/>
    <col min="3584" max="3584" width="4.09765625" style="455" bestFit="1" customWidth="1"/>
    <col min="3585" max="3585" width="21.5" style="455" customWidth="1"/>
    <col min="3586" max="3586" width="7.5" style="455" customWidth="1"/>
    <col min="3587" max="3587" width="9" style="455" customWidth="1"/>
    <col min="3588" max="3588" width="8" style="455" customWidth="1"/>
    <col min="3589" max="3589" width="5.8984375" style="455" customWidth="1"/>
    <col min="3590" max="3590" width="6.69921875" style="455" customWidth="1"/>
    <col min="3591" max="3591" width="7.5" style="455" customWidth="1"/>
    <col min="3592" max="3592" width="7.19921875" style="455" customWidth="1"/>
    <col min="3593" max="3593" width="15.5" style="455" bestFit="1" customWidth="1"/>
    <col min="3594" max="3594" width="12.796875" style="455" customWidth="1"/>
    <col min="3595" max="3595" width="7.5" style="455" customWidth="1"/>
    <col min="3596" max="3596" width="15.5" style="455" bestFit="1" customWidth="1"/>
    <col min="3597" max="3597" width="13" style="455" customWidth="1"/>
    <col min="3598" max="3598" width="11.8984375" style="455" customWidth="1"/>
    <col min="3599" max="3599" width="16.796875" style="455" bestFit="1" customWidth="1"/>
    <col min="3600" max="3600" width="11.59765625" style="455" bestFit="1" customWidth="1"/>
    <col min="3601" max="3839" width="8.69921875" style="455"/>
    <col min="3840" max="3840" width="4.09765625" style="455" bestFit="1" customWidth="1"/>
    <col min="3841" max="3841" width="21.5" style="455" customWidth="1"/>
    <col min="3842" max="3842" width="7.5" style="455" customWidth="1"/>
    <col min="3843" max="3843" width="9" style="455" customWidth="1"/>
    <col min="3844" max="3844" width="8" style="455" customWidth="1"/>
    <col min="3845" max="3845" width="5.8984375" style="455" customWidth="1"/>
    <col min="3846" max="3846" width="6.69921875" style="455" customWidth="1"/>
    <col min="3847" max="3847" width="7.5" style="455" customWidth="1"/>
    <col min="3848" max="3848" width="7.19921875" style="455" customWidth="1"/>
    <col min="3849" max="3849" width="15.5" style="455" bestFit="1" customWidth="1"/>
    <col min="3850" max="3850" width="12.796875" style="455" customWidth="1"/>
    <col min="3851" max="3851" width="7.5" style="455" customWidth="1"/>
    <col min="3852" max="3852" width="15.5" style="455" bestFit="1" customWidth="1"/>
    <col min="3853" max="3853" width="13" style="455" customWidth="1"/>
    <col min="3854" max="3854" width="11.8984375" style="455" customWidth="1"/>
    <col min="3855" max="3855" width="16.796875" style="455" bestFit="1" customWidth="1"/>
    <col min="3856" max="3856" width="11.59765625" style="455" bestFit="1" customWidth="1"/>
    <col min="3857" max="4095" width="8.69921875" style="455"/>
    <col min="4096" max="4096" width="4.09765625" style="455" bestFit="1" customWidth="1"/>
    <col min="4097" max="4097" width="21.5" style="455" customWidth="1"/>
    <col min="4098" max="4098" width="7.5" style="455" customWidth="1"/>
    <col min="4099" max="4099" width="9" style="455" customWidth="1"/>
    <col min="4100" max="4100" width="8" style="455" customWidth="1"/>
    <col min="4101" max="4101" width="5.8984375" style="455" customWidth="1"/>
    <col min="4102" max="4102" width="6.69921875" style="455" customWidth="1"/>
    <col min="4103" max="4103" width="7.5" style="455" customWidth="1"/>
    <col min="4104" max="4104" width="7.19921875" style="455" customWidth="1"/>
    <col min="4105" max="4105" width="15.5" style="455" bestFit="1" customWidth="1"/>
    <col min="4106" max="4106" width="12.796875" style="455" customWidth="1"/>
    <col min="4107" max="4107" width="7.5" style="455" customWidth="1"/>
    <col min="4108" max="4108" width="15.5" style="455" bestFit="1" customWidth="1"/>
    <col min="4109" max="4109" width="13" style="455" customWidth="1"/>
    <col min="4110" max="4110" width="11.8984375" style="455" customWidth="1"/>
    <col min="4111" max="4111" width="16.796875" style="455" bestFit="1" customWidth="1"/>
    <col min="4112" max="4112" width="11.59765625" style="455" bestFit="1" customWidth="1"/>
    <col min="4113" max="4351" width="8.69921875" style="455"/>
    <col min="4352" max="4352" width="4.09765625" style="455" bestFit="1" customWidth="1"/>
    <col min="4353" max="4353" width="21.5" style="455" customWidth="1"/>
    <col min="4354" max="4354" width="7.5" style="455" customWidth="1"/>
    <col min="4355" max="4355" width="9" style="455" customWidth="1"/>
    <col min="4356" max="4356" width="8" style="455" customWidth="1"/>
    <col min="4357" max="4357" width="5.8984375" style="455" customWidth="1"/>
    <col min="4358" max="4358" width="6.69921875" style="455" customWidth="1"/>
    <col min="4359" max="4359" width="7.5" style="455" customWidth="1"/>
    <col min="4360" max="4360" width="7.19921875" style="455" customWidth="1"/>
    <col min="4361" max="4361" width="15.5" style="455" bestFit="1" customWidth="1"/>
    <col min="4362" max="4362" width="12.796875" style="455" customWidth="1"/>
    <col min="4363" max="4363" width="7.5" style="455" customWidth="1"/>
    <col min="4364" max="4364" width="15.5" style="455" bestFit="1" customWidth="1"/>
    <col min="4365" max="4365" width="13" style="455" customWidth="1"/>
    <col min="4366" max="4366" width="11.8984375" style="455" customWidth="1"/>
    <col min="4367" max="4367" width="16.796875" style="455" bestFit="1" customWidth="1"/>
    <col min="4368" max="4368" width="11.59765625" style="455" bestFit="1" customWidth="1"/>
    <col min="4369" max="4607" width="8.69921875" style="455"/>
    <col min="4608" max="4608" width="4.09765625" style="455" bestFit="1" customWidth="1"/>
    <col min="4609" max="4609" width="21.5" style="455" customWidth="1"/>
    <col min="4610" max="4610" width="7.5" style="455" customWidth="1"/>
    <col min="4611" max="4611" width="9" style="455" customWidth="1"/>
    <col min="4612" max="4612" width="8" style="455" customWidth="1"/>
    <col min="4613" max="4613" width="5.8984375" style="455" customWidth="1"/>
    <col min="4614" max="4614" width="6.69921875" style="455" customWidth="1"/>
    <col min="4615" max="4615" width="7.5" style="455" customWidth="1"/>
    <col min="4616" max="4616" width="7.19921875" style="455" customWidth="1"/>
    <col min="4617" max="4617" width="15.5" style="455" bestFit="1" customWidth="1"/>
    <col min="4618" max="4618" width="12.796875" style="455" customWidth="1"/>
    <col min="4619" max="4619" width="7.5" style="455" customWidth="1"/>
    <col min="4620" max="4620" width="15.5" style="455" bestFit="1" customWidth="1"/>
    <col min="4621" max="4621" width="13" style="455" customWidth="1"/>
    <col min="4622" max="4622" width="11.8984375" style="455" customWidth="1"/>
    <col min="4623" max="4623" width="16.796875" style="455" bestFit="1" customWidth="1"/>
    <col min="4624" max="4624" width="11.59765625" style="455" bestFit="1" customWidth="1"/>
    <col min="4625" max="4863" width="8.69921875" style="455"/>
    <col min="4864" max="4864" width="4.09765625" style="455" bestFit="1" customWidth="1"/>
    <col min="4865" max="4865" width="21.5" style="455" customWidth="1"/>
    <col min="4866" max="4866" width="7.5" style="455" customWidth="1"/>
    <col min="4867" max="4867" width="9" style="455" customWidth="1"/>
    <col min="4868" max="4868" width="8" style="455" customWidth="1"/>
    <col min="4869" max="4869" width="5.8984375" style="455" customWidth="1"/>
    <col min="4870" max="4870" width="6.69921875" style="455" customWidth="1"/>
    <col min="4871" max="4871" width="7.5" style="455" customWidth="1"/>
    <col min="4872" max="4872" width="7.19921875" style="455" customWidth="1"/>
    <col min="4873" max="4873" width="15.5" style="455" bestFit="1" customWidth="1"/>
    <col min="4874" max="4874" width="12.796875" style="455" customWidth="1"/>
    <col min="4875" max="4875" width="7.5" style="455" customWidth="1"/>
    <col min="4876" max="4876" width="15.5" style="455" bestFit="1" customWidth="1"/>
    <col min="4877" max="4877" width="13" style="455" customWidth="1"/>
    <col min="4878" max="4878" width="11.8984375" style="455" customWidth="1"/>
    <col min="4879" max="4879" width="16.796875" style="455" bestFit="1" customWidth="1"/>
    <col min="4880" max="4880" width="11.59765625" style="455" bestFit="1" customWidth="1"/>
    <col min="4881" max="5119" width="8.69921875" style="455"/>
    <col min="5120" max="5120" width="4.09765625" style="455" bestFit="1" customWidth="1"/>
    <col min="5121" max="5121" width="21.5" style="455" customWidth="1"/>
    <col min="5122" max="5122" width="7.5" style="455" customWidth="1"/>
    <col min="5123" max="5123" width="9" style="455" customWidth="1"/>
    <col min="5124" max="5124" width="8" style="455" customWidth="1"/>
    <col min="5125" max="5125" width="5.8984375" style="455" customWidth="1"/>
    <col min="5126" max="5126" width="6.69921875" style="455" customWidth="1"/>
    <col min="5127" max="5127" width="7.5" style="455" customWidth="1"/>
    <col min="5128" max="5128" width="7.19921875" style="455" customWidth="1"/>
    <col min="5129" max="5129" width="15.5" style="455" bestFit="1" customWidth="1"/>
    <col min="5130" max="5130" width="12.796875" style="455" customWidth="1"/>
    <col min="5131" max="5131" width="7.5" style="455" customWidth="1"/>
    <col min="5132" max="5132" width="15.5" style="455" bestFit="1" customWidth="1"/>
    <col min="5133" max="5133" width="13" style="455" customWidth="1"/>
    <col min="5134" max="5134" width="11.8984375" style="455" customWidth="1"/>
    <col min="5135" max="5135" width="16.796875" style="455" bestFit="1" customWidth="1"/>
    <col min="5136" max="5136" width="11.59765625" style="455" bestFit="1" customWidth="1"/>
    <col min="5137" max="5375" width="8.69921875" style="455"/>
    <col min="5376" max="5376" width="4.09765625" style="455" bestFit="1" customWidth="1"/>
    <col min="5377" max="5377" width="21.5" style="455" customWidth="1"/>
    <col min="5378" max="5378" width="7.5" style="455" customWidth="1"/>
    <col min="5379" max="5379" width="9" style="455" customWidth="1"/>
    <col min="5380" max="5380" width="8" style="455" customWidth="1"/>
    <col min="5381" max="5381" width="5.8984375" style="455" customWidth="1"/>
    <col min="5382" max="5382" width="6.69921875" style="455" customWidth="1"/>
    <col min="5383" max="5383" width="7.5" style="455" customWidth="1"/>
    <col min="5384" max="5384" width="7.19921875" style="455" customWidth="1"/>
    <col min="5385" max="5385" width="15.5" style="455" bestFit="1" customWidth="1"/>
    <col min="5386" max="5386" width="12.796875" style="455" customWidth="1"/>
    <col min="5387" max="5387" width="7.5" style="455" customWidth="1"/>
    <col min="5388" max="5388" width="15.5" style="455" bestFit="1" customWidth="1"/>
    <col min="5389" max="5389" width="13" style="455" customWidth="1"/>
    <col min="5390" max="5390" width="11.8984375" style="455" customWidth="1"/>
    <col min="5391" max="5391" width="16.796875" style="455" bestFit="1" customWidth="1"/>
    <col min="5392" max="5392" width="11.59765625" style="455" bestFit="1" customWidth="1"/>
    <col min="5393" max="5631" width="8.69921875" style="455"/>
    <col min="5632" max="5632" width="4.09765625" style="455" bestFit="1" customWidth="1"/>
    <col min="5633" max="5633" width="21.5" style="455" customWidth="1"/>
    <col min="5634" max="5634" width="7.5" style="455" customWidth="1"/>
    <col min="5635" max="5635" width="9" style="455" customWidth="1"/>
    <col min="5636" max="5636" width="8" style="455" customWidth="1"/>
    <col min="5637" max="5637" width="5.8984375" style="455" customWidth="1"/>
    <col min="5638" max="5638" width="6.69921875" style="455" customWidth="1"/>
    <col min="5639" max="5639" width="7.5" style="455" customWidth="1"/>
    <col min="5640" max="5640" width="7.19921875" style="455" customWidth="1"/>
    <col min="5641" max="5641" width="15.5" style="455" bestFit="1" customWidth="1"/>
    <col min="5642" max="5642" width="12.796875" style="455" customWidth="1"/>
    <col min="5643" max="5643" width="7.5" style="455" customWidth="1"/>
    <col min="5644" max="5644" width="15.5" style="455" bestFit="1" customWidth="1"/>
    <col min="5645" max="5645" width="13" style="455" customWidth="1"/>
    <col min="5646" max="5646" width="11.8984375" style="455" customWidth="1"/>
    <col min="5647" max="5647" width="16.796875" style="455" bestFit="1" customWidth="1"/>
    <col min="5648" max="5648" width="11.59765625" style="455" bestFit="1" customWidth="1"/>
    <col min="5649" max="5887" width="8.69921875" style="455"/>
    <col min="5888" max="5888" width="4.09765625" style="455" bestFit="1" customWidth="1"/>
    <col min="5889" max="5889" width="21.5" style="455" customWidth="1"/>
    <col min="5890" max="5890" width="7.5" style="455" customWidth="1"/>
    <col min="5891" max="5891" width="9" style="455" customWidth="1"/>
    <col min="5892" max="5892" width="8" style="455" customWidth="1"/>
    <col min="5893" max="5893" width="5.8984375" style="455" customWidth="1"/>
    <col min="5894" max="5894" width="6.69921875" style="455" customWidth="1"/>
    <col min="5895" max="5895" width="7.5" style="455" customWidth="1"/>
    <col min="5896" max="5896" width="7.19921875" style="455" customWidth="1"/>
    <col min="5897" max="5897" width="15.5" style="455" bestFit="1" customWidth="1"/>
    <col min="5898" max="5898" width="12.796875" style="455" customWidth="1"/>
    <col min="5899" max="5899" width="7.5" style="455" customWidth="1"/>
    <col min="5900" max="5900" width="15.5" style="455" bestFit="1" customWidth="1"/>
    <col min="5901" max="5901" width="13" style="455" customWidth="1"/>
    <col min="5902" max="5902" width="11.8984375" style="455" customWidth="1"/>
    <col min="5903" max="5903" width="16.796875" style="455" bestFit="1" customWidth="1"/>
    <col min="5904" max="5904" width="11.59765625" style="455" bestFit="1" customWidth="1"/>
    <col min="5905" max="6143" width="8.69921875" style="455"/>
    <col min="6144" max="6144" width="4.09765625" style="455" bestFit="1" customWidth="1"/>
    <col min="6145" max="6145" width="21.5" style="455" customWidth="1"/>
    <col min="6146" max="6146" width="7.5" style="455" customWidth="1"/>
    <col min="6147" max="6147" width="9" style="455" customWidth="1"/>
    <col min="6148" max="6148" width="8" style="455" customWidth="1"/>
    <col min="6149" max="6149" width="5.8984375" style="455" customWidth="1"/>
    <col min="6150" max="6150" width="6.69921875" style="455" customWidth="1"/>
    <col min="6151" max="6151" width="7.5" style="455" customWidth="1"/>
    <col min="6152" max="6152" width="7.19921875" style="455" customWidth="1"/>
    <col min="6153" max="6153" width="15.5" style="455" bestFit="1" customWidth="1"/>
    <col min="6154" max="6154" width="12.796875" style="455" customWidth="1"/>
    <col min="6155" max="6155" width="7.5" style="455" customWidth="1"/>
    <col min="6156" max="6156" width="15.5" style="455" bestFit="1" customWidth="1"/>
    <col min="6157" max="6157" width="13" style="455" customWidth="1"/>
    <col min="6158" max="6158" width="11.8984375" style="455" customWidth="1"/>
    <col min="6159" max="6159" width="16.796875" style="455" bestFit="1" customWidth="1"/>
    <col min="6160" max="6160" width="11.59765625" style="455" bestFit="1" customWidth="1"/>
    <col min="6161" max="6399" width="8.69921875" style="455"/>
    <col min="6400" max="6400" width="4.09765625" style="455" bestFit="1" customWidth="1"/>
    <col min="6401" max="6401" width="21.5" style="455" customWidth="1"/>
    <col min="6402" max="6402" width="7.5" style="455" customWidth="1"/>
    <col min="6403" max="6403" width="9" style="455" customWidth="1"/>
    <col min="6404" max="6404" width="8" style="455" customWidth="1"/>
    <col min="6405" max="6405" width="5.8984375" style="455" customWidth="1"/>
    <col min="6406" max="6406" width="6.69921875" style="455" customWidth="1"/>
    <col min="6407" max="6407" width="7.5" style="455" customWidth="1"/>
    <col min="6408" max="6408" width="7.19921875" style="455" customWidth="1"/>
    <col min="6409" max="6409" width="15.5" style="455" bestFit="1" customWidth="1"/>
    <col min="6410" max="6410" width="12.796875" style="455" customWidth="1"/>
    <col min="6411" max="6411" width="7.5" style="455" customWidth="1"/>
    <col min="6412" max="6412" width="15.5" style="455" bestFit="1" customWidth="1"/>
    <col min="6413" max="6413" width="13" style="455" customWidth="1"/>
    <col min="6414" max="6414" width="11.8984375" style="455" customWidth="1"/>
    <col min="6415" max="6415" width="16.796875" style="455" bestFit="1" customWidth="1"/>
    <col min="6416" max="6416" width="11.59765625" style="455" bestFit="1" customWidth="1"/>
    <col min="6417" max="6655" width="8.69921875" style="455"/>
    <col min="6656" max="6656" width="4.09765625" style="455" bestFit="1" customWidth="1"/>
    <col min="6657" max="6657" width="21.5" style="455" customWidth="1"/>
    <col min="6658" max="6658" width="7.5" style="455" customWidth="1"/>
    <col min="6659" max="6659" width="9" style="455" customWidth="1"/>
    <col min="6660" max="6660" width="8" style="455" customWidth="1"/>
    <col min="6661" max="6661" width="5.8984375" style="455" customWidth="1"/>
    <col min="6662" max="6662" width="6.69921875" style="455" customWidth="1"/>
    <col min="6663" max="6663" width="7.5" style="455" customWidth="1"/>
    <col min="6664" max="6664" width="7.19921875" style="455" customWidth="1"/>
    <col min="6665" max="6665" width="15.5" style="455" bestFit="1" customWidth="1"/>
    <col min="6666" max="6666" width="12.796875" style="455" customWidth="1"/>
    <col min="6667" max="6667" width="7.5" style="455" customWidth="1"/>
    <col min="6668" max="6668" width="15.5" style="455" bestFit="1" customWidth="1"/>
    <col min="6669" max="6669" width="13" style="455" customWidth="1"/>
    <col min="6670" max="6670" width="11.8984375" style="455" customWidth="1"/>
    <col min="6671" max="6671" width="16.796875" style="455" bestFit="1" customWidth="1"/>
    <col min="6672" max="6672" width="11.59765625" style="455" bestFit="1" customWidth="1"/>
    <col min="6673" max="6911" width="8.69921875" style="455"/>
    <col min="6912" max="6912" width="4.09765625" style="455" bestFit="1" customWidth="1"/>
    <col min="6913" max="6913" width="21.5" style="455" customWidth="1"/>
    <col min="6914" max="6914" width="7.5" style="455" customWidth="1"/>
    <col min="6915" max="6915" width="9" style="455" customWidth="1"/>
    <col min="6916" max="6916" width="8" style="455" customWidth="1"/>
    <col min="6917" max="6917" width="5.8984375" style="455" customWidth="1"/>
    <col min="6918" max="6918" width="6.69921875" style="455" customWidth="1"/>
    <col min="6919" max="6919" width="7.5" style="455" customWidth="1"/>
    <col min="6920" max="6920" width="7.19921875" style="455" customWidth="1"/>
    <col min="6921" max="6921" width="15.5" style="455" bestFit="1" customWidth="1"/>
    <col min="6922" max="6922" width="12.796875" style="455" customWidth="1"/>
    <col min="6923" max="6923" width="7.5" style="455" customWidth="1"/>
    <col min="6924" max="6924" width="15.5" style="455" bestFit="1" customWidth="1"/>
    <col min="6925" max="6925" width="13" style="455" customWidth="1"/>
    <col min="6926" max="6926" width="11.8984375" style="455" customWidth="1"/>
    <col min="6927" max="6927" width="16.796875" style="455" bestFit="1" customWidth="1"/>
    <col min="6928" max="6928" width="11.59765625" style="455" bestFit="1" customWidth="1"/>
    <col min="6929" max="7167" width="8.69921875" style="455"/>
    <col min="7168" max="7168" width="4.09765625" style="455" bestFit="1" customWidth="1"/>
    <col min="7169" max="7169" width="21.5" style="455" customWidth="1"/>
    <col min="7170" max="7170" width="7.5" style="455" customWidth="1"/>
    <col min="7171" max="7171" width="9" style="455" customWidth="1"/>
    <col min="7172" max="7172" width="8" style="455" customWidth="1"/>
    <col min="7173" max="7173" width="5.8984375" style="455" customWidth="1"/>
    <col min="7174" max="7174" width="6.69921875" style="455" customWidth="1"/>
    <col min="7175" max="7175" width="7.5" style="455" customWidth="1"/>
    <col min="7176" max="7176" width="7.19921875" style="455" customWidth="1"/>
    <col min="7177" max="7177" width="15.5" style="455" bestFit="1" customWidth="1"/>
    <col min="7178" max="7178" width="12.796875" style="455" customWidth="1"/>
    <col min="7179" max="7179" width="7.5" style="455" customWidth="1"/>
    <col min="7180" max="7180" width="15.5" style="455" bestFit="1" customWidth="1"/>
    <col min="7181" max="7181" width="13" style="455" customWidth="1"/>
    <col min="7182" max="7182" width="11.8984375" style="455" customWidth="1"/>
    <col min="7183" max="7183" width="16.796875" style="455" bestFit="1" customWidth="1"/>
    <col min="7184" max="7184" width="11.59765625" style="455" bestFit="1" customWidth="1"/>
    <col min="7185" max="7423" width="8.69921875" style="455"/>
    <col min="7424" max="7424" width="4.09765625" style="455" bestFit="1" customWidth="1"/>
    <col min="7425" max="7425" width="21.5" style="455" customWidth="1"/>
    <col min="7426" max="7426" width="7.5" style="455" customWidth="1"/>
    <col min="7427" max="7427" width="9" style="455" customWidth="1"/>
    <col min="7428" max="7428" width="8" style="455" customWidth="1"/>
    <col min="7429" max="7429" width="5.8984375" style="455" customWidth="1"/>
    <col min="7430" max="7430" width="6.69921875" style="455" customWidth="1"/>
    <col min="7431" max="7431" width="7.5" style="455" customWidth="1"/>
    <col min="7432" max="7432" width="7.19921875" style="455" customWidth="1"/>
    <col min="7433" max="7433" width="15.5" style="455" bestFit="1" customWidth="1"/>
    <col min="7434" max="7434" width="12.796875" style="455" customWidth="1"/>
    <col min="7435" max="7435" width="7.5" style="455" customWidth="1"/>
    <col min="7436" max="7436" width="15.5" style="455" bestFit="1" customWidth="1"/>
    <col min="7437" max="7437" width="13" style="455" customWidth="1"/>
    <col min="7438" max="7438" width="11.8984375" style="455" customWidth="1"/>
    <col min="7439" max="7439" width="16.796875" style="455" bestFit="1" customWidth="1"/>
    <col min="7440" max="7440" width="11.59765625" style="455" bestFit="1" customWidth="1"/>
    <col min="7441" max="7679" width="8.69921875" style="455"/>
    <col min="7680" max="7680" width="4.09765625" style="455" bestFit="1" customWidth="1"/>
    <col min="7681" max="7681" width="21.5" style="455" customWidth="1"/>
    <col min="7682" max="7682" width="7.5" style="455" customWidth="1"/>
    <col min="7683" max="7683" width="9" style="455" customWidth="1"/>
    <col min="7684" max="7684" width="8" style="455" customWidth="1"/>
    <col min="7685" max="7685" width="5.8984375" style="455" customWidth="1"/>
    <col min="7686" max="7686" width="6.69921875" style="455" customWidth="1"/>
    <col min="7687" max="7687" width="7.5" style="455" customWidth="1"/>
    <col min="7688" max="7688" width="7.19921875" style="455" customWidth="1"/>
    <col min="7689" max="7689" width="15.5" style="455" bestFit="1" customWidth="1"/>
    <col min="7690" max="7690" width="12.796875" style="455" customWidth="1"/>
    <col min="7691" max="7691" width="7.5" style="455" customWidth="1"/>
    <col min="7692" max="7692" width="15.5" style="455" bestFit="1" customWidth="1"/>
    <col min="7693" max="7693" width="13" style="455" customWidth="1"/>
    <col min="7694" max="7694" width="11.8984375" style="455" customWidth="1"/>
    <col min="7695" max="7695" width="16.796875" style="455" bestFit="1" customWidth="1"/>
    <col min="7696" max="7696" width="11.59765625" style="455" bestFit="1" customWidth="1"/>
    <col min="7697" max="7935" width="8.69921875" style="455"/>
    <col min="7936" max="7936" width="4.09765625" style="455" bestFit="1" customWidth="1"/>
    <col min="7937" max="7937" width="21.5" style="455" customWidth="1"/>
    <col min="7938" max="7938" width="7.5" style="455" customWidth="1"/>
    <col min="7939" max="7939" width="9" style="455" customWidth="1"/>
    <col min="7940" max="7940" width="8" style="455" customWidth="1"/>
    <col min="7941" max="7941" width="5.8984375" style="455" customWidth="1"/>
    <col min="7942" max="7942" width="6.69921875" style="455" customWidth="1"/>
    <col min="7943" max="7943" width="7.5" style="455" customWidth="1"/>
    <col min="7944" max="7944" width="7.19921875" style="455" customWidth="1"/>
    <col min="7945" max="7945" width="15.5" style="455" bestFit="1" customWidth="1"/>
    <col min="7946" max="7946" width="12.796875" style="455" customWidth="1"/>
    <col min="7947" max="7947" width="7.5" style="455" customWidth="1"/>
    <col min="7948" max="7948" width="15.5" style="455" bestFit="1" customWidth="1"/>
    <col min="7949" max="7949" width="13" style="455" customWidth="1"/>
    <col min="7950" max="7950" width="11.8984375" style="455" customWidth="1"/>
    <col min="7951" max="7951" width="16.796875" style="455" bestFit="1" customWidth="1"/>
    <col min="7952" max="7952" width="11.59765625" style="455" bestFit="1" customWidth="1"/>
    <col min="7953" max="8191" width="8.69921875" style="455"/>
    <col min="8192" max="8192" width="4.09765625" style="455" bestFit="1" customWidth="1"/>
    <col min="8193" max="8193" width="21.5" style="455" customWidth="1"/>
    <col min="8194" max="8194" width="7.5" style="455" customWidth="1"/>
    <col min="8195" max="8195" width="9" style="455" customWidth="1"/>
    <col min="8196" max="8196" width="8" style="455" customWidth="1"/>
    <col min="8197" max="8197" width="5.8984375" style="455" customWidth="1"/>
    <col min="8198" max="8198" width="6.69921875" style="455" customWidth="1"/>
    <col min="8199" max="8199" width="7.5" style="455" customWidth="1"/>
    <col min="8200" max="8200" width="7.19921875" style="455" customWidth="1"/>
    <col min="8201" max="8201" width="15.5" style="455" bestFit="1" customWidth="1"/>
    <col min="8202" max="8202" width="12.796875" style="455" customWidth="1"/>
    <col min="8203" max="8203" width="7.5" style="455" customWidth="1"/>
    <col min="8204" max="8204" width="15.5" style="455" bestFit="1" customWidth="1"/>
    <col min="8205" max="8205" width="13" style="455" customWidth="1"/>
    <col min="8206" max="8206" width="11.8984375" style="455" customWidth="1"/>
    <col min="8207" max="8207" width="16.796875" style="455" bestFit="1" customWidth="1"/>
    <col min="8208" max="8208" width="11.59765625" style="455" bestFit="1" customWidth="1"/>
    <col min="8209" max="8447" width="8.69921875" style="455"/>
    <col min="8448" max="8448" width="4.09765625" style="455" bestFit="1" customWidth="1"/>
    <col min="8449" max="8449" width="21.5" style="455" customWidth="1"/>
    <col min="8450" max="8450" width="7.5" style="455" customWidth="1"/>
    <col min="8451" max="8451" width="9" style="455" customWidth="1"/>
    <col min="8452" max="8452" width="8" style="455" customWidth="1"/>
    <col min="8453" max="8453" width="5.8984375" style="455" customWidth="1"/>
    <col min="8454" max="8454" width="6.69921875" style="455" customWidth="1"/>
    <col min="8455" max="8455" width="7.5" style="455" customWidth="1"/>
    <col min="8456" max="8456" width="7.19921875" style="455" customWidth="1"/>
    <col min="8457" max="8457" width="15.5" style="455" bestFit="1" customWidth="1"/>
    <col min="8458" max="8458" width="12.796875" style="455" customWidth="1"/>
    <col min="8459" max="8459" width="7.5" style="455" customWidth="1"/>
    <col min="8460" max="8460" width="15.5" style="455" bestFit="1" customWidth="1"/>
    <col min="8461" max="8461" width="13" style="455" customWidth="1"/>
    <col min="8462" max="8462" width="11.8984375" style="455" customWidth="1"/>
    <col min="8463" max="8463" width="16.796875" style="455" bestFit="1" customWidth="1"/>
    <col min="8464" max="8464" width="11.59765625" style="455" bestFit="1" customWidth="1"/>
    <col min="8465" max="8703" width="8.69921875" style="455"/>
    <col min="8704" max="8704" width="4.09765625" style="455" bestFit="1" customWidth="1"/>
    <col min="8705" max="8705" width="21.5" style="455" customWidth="1"/>
    <col min="8706" max="8706" width="7.5" style="455" customWidth="1"/>
    <col min="8707" max="8707" width="9" style="455" customWidth="1"/>
    <col min="8708" max="8708" width="8" style="455" customWidth="1"/>
    <col min="8709" max="8709" width="5.8984375" style="455" customWidth="1"/>
    <col min="8710" max="8710" width="6.69921875" style="455" customWidth="1"/>
    <col min="8711" max="8711" width="7.5" style="455" customWidth="1"/>
    <col min="8712" max="8712" width="7.19921875" style="455" customWidth="1"/>
    <col min="8713" max="8713" width="15.5" style="455" bestFit="1" customWidth="1"/>
    <col min="8714" max="8714" width="12.796875" style="455" customWidth="1"/>
    <col min="8715" max="8715" width="7.5" style="455" customWidth="1"/>
    <col min="8716" max="8716" width="15.5" style="455" bestFit="1" customWidth="1"/>
    <col min="8717" max="8717" width="13" style="455" customWidth="1"/>
    <col min="8718" max="8718" width="11.8984375" style="455" customWidth="1"/>
    <col min="8719" max="8719" width="16.796875" style="455" bestFit="1" customWidth="1"/>
    <col min="8720" max="8720" width="11.59765625" style="455" bestFit="1" customWidth="1"/>
    <col min="8721" max="8959" width="8.69921875" style="455"/>
    <col min="8960" max="8960" width="4.09765625" style="455" bestFit="1" customWidth="1"/>
    <col min="8961" max="8961" width="21.5" style="455" customWidth="1"/>
    <col min="8962" max="8962" width="7.5" style="455" customWidth="1"/>
    <col min="8963" max="8963" width="9" style="455" customWidth="1"/>
    <col min="8964" max="8964" width="8" style="455" customWidth="1"/>
    <col min="8965" max="8965" width="5.8984375" style="455" customWidth="1"/>
    <col min="8966" max="8966" width="6.69921875" style="455" customWidth="1"/>
    <col min="8967" max="8967" width="7.5" style="455" customWidth="1"/>
    <col min="8968" max="8968" width="7.19921875" style="455" customWidth="1"/>
    <col min="8969" max="8969" width="15.5" style="455" bestFit="1" customWidth="1"/>
    <col min="8970" max="8970" width="12.796875" style="455" customWidth="1"/>
    <col min="8971" max="8971" width="7.5" style="455" customWidth="1"/>
    <col min="8972" max="8972" width="15.5" style="455" bestFit="1" customWidth="1"/>
    <col min="8973" max="8973" width="13" style="455" customWidth="1"/>
    <col min="8974" max="8974" width="11.8984375" style="455" customWidth="1"/>
    <col min="8975" max="8975" width="16.796875" style="455" bestFit="1" customWidth="1"/>
    <col min="8976" max="8976" width="11.59765625" style="455" bestFit="1" customWidth="1"/>
    <col min="8977" max="9215" width="8.69921875" style="455"/>
    <col min="9216" max="9216" width="4.09765625" style="455" bestFit="1" customWidth="1"/>
    <col min="9217" max="9217" width="21.5" style="455" customWidth="1"/>
    <col min="9218" max="9218" width="7.5" style="455" customWidth="1"/>
    <col min="9219" max="9219" width="9" style="455" customWidth="1"/>
    <col min="9220" max="9220" width="8" style="455" customWidth="1"/>
    <col min="9221" max="9221" width="5.8984375" style="455" customWidth="1"/>
    <col min="9222" max="9222" width="6.69921875" style="455" customWidth="1"/>
    <col min="9223" max="9223" width="7.5" style="455" customWidth="1"/>
    <col min="9224" max="9224" width="7.19921875" style="455" customWidth="1"/>
    <col min="9225" max="9225" width="15.5" style="455" bestFit="1" customWidth="1"/>
    <col min="9226" max="9226" width="12.796875" style="455" customWidth="1"/>
    <col min="9227" max="9227" width="7.5" style="455" customWidth="1"/>
    <col min="9228" max="9228" width="15.5" style="455" bestFit="1" customWidth="1"/>
    <col min="9229" max="9229" width="13" style="455" customWidth="1"/>
    <col min="9230" max="9230" width="11.8984375" style="455" customWidth="1"/>
    <col min="9231" max="9231" width="16.796875" style="455" bestFit="1" customWidth="1"/>
    <col min="9232" max="9232" width="11.59765625" style="455" bestFit="1" customWidth="1"/>
    <col min="9233" max="9471" width="8.69921875" style="455"/>
    <col min="9472" max="9472" width="4.09765625" style="455" bestFit="1" customWidth="1"/>
    <col min="9473" max="9473" width="21.5" style="455" customWidth="1"/>
    <col min="9474" max="9474" width="7.5" style="455" customWidth="1"/>
    <col min="9475" max="9475" width="9" style="455" customWidth="1"/>
    <col min="9476" max="9476" width="8" style="455" customWidth="1"/>
    <col min="9477" max="9477" width="5.8984375" style="455" customWidth="1"/>
    <col min="9478" max="9478" width="6.69921875" style="455" customWidth="1"/>
    <col min="9479" max="9479" width="7.5" style="455" customWidth="1"/>
    <col min="9480" max="9480" width="7.19921875" style="455" customWidth="1"/>
    <col min="9481" max="9481" width="15.5" style="455" bestFit="1" customWidth="1"/>
    <col min="9482" max="9482" width="12.796875" style="455" customWidth="1"/>
    <col min="9483" max="9483" width="7.5" style="455" customWidth="1"/>
    <col min="9484" max="9484" width="15.5" style="455" bestFit="1" customWidth="1"/>
    <col min="9485" max="9485" width="13" style="455" customWidth="1"/>
    <col min="9486" max="9486" width="11.8984375" style="455" customWidth="1"/>
    <col min="9487" max="9487" width="16.796875" style="455" bestFit="1" customWidth="1"/>
    <col min="9488" max="9488" width="11.59765625" style="455" bestFit="1" customWidth="1"/>
    <col min="9489" max="9727" width="8.69921875" style="455"/>
    <col min="9728" max="9728" width="4.09765625" style="455" bestFit="1" customWidth="1"/>
    <col min="9729" max="9729" width="21.5" style="455" customWidth="1"/>
    <col min="9730" max="9730" width="7.5" style="455" customWidth="1"/>
    <col min="9731" max="9731" width="9" style="455" customWidth="1"/>
    <col min="9732" max="9732" width="8" style="455" customWidth="1"/>
    <col min="9733" max="9733" width="5.8984375" style="455" customWidth="1"/>
    <col min="9734" max="9734" width="6.69921875" style="455" customWidth="1"/>
    <col min="9735" max="9735" width="7.5" style="455" customWidth="1"/>
    <col min="9736" max="9736" width="7.19921875" style="455" customWidth="1"/>
    <col min="9737" max="9737" width="15.5" style="455" bestFit="1" customWidth="1"/>
    <col min="9738" max="9738" width="12.796875" style="455" customWidth="1"/>
    <col min="9739" max="9739" width="7.5" style="455" customWidth="1"/>
    <col min="9740" max="9740" width="15.5" style="455" bestFit="1" customWidth="1"/>
    <col min="9741" max="9741" width="13" style="455" customWidth="1"/>
    <col min="9742" max="9742" width="11.8984375" style="455" customWidth="1"/>
    <col min="9743" max="9743" width="16.796875" style="455" bestFit="1" customWidth="1"/>
    <col min="9744" max="9744" width="11.59765625" style="455" bestFit="1" customWidth="1"/>
    <col min="9745" max="9983" width="8.69921875" style="455"/>
    <col min="9984" max="9984" width="4.09765625" style="455" bestFit="1" customWidth="1"/>
    <col min="9985" max="9985" width="21.5" style="455" customWidth="1"/>
    <col min="9986" max="9986" width="7.5" style="455" customWidth="1"/>
    <col min="9987" max="9987" width="9" style="455" customWidth="1"/>
    <col min="9988" max="9988" width="8" style="455" customWidth="1"/>
    <col min="9989" max="9989" width="5.8984375" style="455" customWidth="1"/>
    <col min="9990" max="9990" width="6.69921875" style="455" customWidth="1"/>
    <col min="9991" max="9991" width="7.5" style="455" customWidth="1"/>
    <col min="9992" max="9992" width="7.19921875" style="455" customWidth="1"/>
    <col min="9993" max="9993" width="15.5" style="455" bestFit="1" customWidth="1"/>
    <col min="9994" max="9994" width="12.796875" style="455" customWidth="1"/>
    <col min="9995" max="9995" width="7.5" style="455" customWidth="1"/>
    <col min="9996" max="9996" width="15.5" style="455" bestFit="1" customWidth="1"/>
    <col min="9997" max="9997" width="13" style="455" customWidth="1"/>
    <col min="9998" max="9998" width="11.8984375" style="455" customWidth="1"/>
    <col min="9999" max="9999" width="16.796875" style="455" bestFit="1" customWidth="1"/>
    <col min="10000" max="10000" width="11.59765625" style="455" bestFit="1" customWidth="1"/>
    <col min="10001" max="10239" width="8.69921875" style="455"/>
    <col min="10240" max="10240" width="4.09765625" style="455" bestFit="1" customWidth="1"/>
    <col min="10241" max="10241" width="21.5" style="455" customWidth="1"/>
    <col min="10242" max="10242" width="7.5" style="455" customWidth="1"/>
    <col min="10243" max="10243" width="9" style="455" customWidth="1"/>
    <col min="10244" max="10244" width="8" style="455" customWidth="1"/>
    <col min="10245" max="10245" width="5.8984375" style="455" customWidth="1"/>
    <col min="10246" max="10246" width="6.69921875" style="455" customWidth="1"/>
    <col min="10247" max="10247" width="7.5" style="455" customWidth="1"/>
    <col min="10248" max="10248" width="7.19921875" style="455" customWidth="1"/>
    <col min="10249" max="10249" width="15.5" style="455" bestFit="1" customWidth="1"/>
    <col min="10250" max="10250" width="12.796875" style="455" customWidth="1"/>
    <col min="10251" max="10251" width="7.5" style="455" customWidth="1"/>
    <col min="10252" max="10252" width="15.5" style="455" bestFit="1" customWidth="1"/>
    <col min="10253" max="10253" width="13" style="455" customWidth="1"/>
    <col min="10254" max="10254" width="11.8984375" style="455" customWidth="1"/>
    <col min="10255" max="10255" width="16.796875" style="455" bestFit="1" customWidth="1"/>
    <col min="10256" max="10256" width="11.59765625" style="455" bestFit="1" customWidth="1"/>
    <col min="10257" max="10495" width="8.69921875" style="455"/>
    <col min="10496" max="10496" width="4.09765625" style="455" bestFit="1" customWidth="1"/>
    <col min="10497" max="10497" width="21.5" style="455" customWidth="1"/>
    <col min="10498" max="10498" width="7.5" style="455" customWidth="1"/>
    <col min="10499" max="10499" width="9" style="455" customWidth="1"/>
    <col min="10500" max="10500" width="8" style="455" customWidth="1"/>
    <col min="10501" max="10501" width="5.8984375" style="455" customWidth="1"/>
    <col min="10502" max="10502" width="6.69921875" style="455" customWidth="1"/>
    <col min="10503" max="10503" width="7.5" style="455" customWidth="1"/>
    <col min="10504" max="10504" width="7.19921875" style="455" customWidth="1"/>
    <col min="10505" max="10505" width="15.5" style="455" bestFit="1" customWidth="1"/>
    <col min="10506" max="10506" width="12.796875" style="455" customWidth="1"/>
    <col min="10507" max="10507" width="7.5" style="455" customWidth="1"/>
    <col min="10508" max="10508" width="15.5" style="455" bestFit="1" customWidth="1"/>
    <col min="10509" max="10509" width="13" style="455" customWidth="1"/>
    <col min="10510" max="10510" width="11.8984375" style="455" customWidth="1"/>
    <col min="10511" max="10511" width="16.796875" style="455" bestFit="1" customWidth="1"/>
    <col min="10512" max="10512" width="11.59765625" style="455" bestFit="1" customWidth="1"/>
    <col min="10513" max="10751" width="8.69921875" style="455"/>
    <col min="10752" max="10752" width="4.09765625" style="455" bestFit="1" customWidth="1"/>
    <col min="10753" max="10753" width="21.5" style="455" customWidth="1"/>
    <col min="10754" max="10754" width="7.5" style="455" customWidth="1"/>
    <col min="10755" max="10755" width="9" style="455" customWidth="1"/>
    <col min="10756" max="10756" width="8" style="455" customWidth="1"/>
    <col min="10757" max="10757" width="5.8984375" style="455" customWidth="1"/>
    <col min="10758" max="10758" width="6.69921875" style="455" customWidth="1"/>
    <col min="10759" max="10759" width="7.5" style="455" customWidth="1"/>
    <col min="10760" max="10760" width="7.19921875" style="455" customWidth="1"/>
    <col min="10761" max="10761" width="15.5" style="455" bestFit="1" customWidth="1"/>
    <col min="10762" max="10762" width="12.796875" style="455" customWidth="1"/>
    <col min="10763" max="10763" width="7.5" style="455" customWidth="1"/>
    <col min="10764" max="10764" width="15.5" style="455" bestFit="1" customWidth="1"/>
    <col min="10765" max="10765" width="13" style="455" customWidth="1"/>
    <col min="10766" max="10766" width="11.8984375" style="455" customWidth="1"/>
    <col min="10767" max="10767" width="16.796875" style="455" bestFit="1" customWidth="1"/>
    <col min="10768" max="10768" width="11.59765625" style="455" bestFit="1" customWidth="1"/>
    <col min="10769" max="11007" width="8.69921875" style="455"/>
    <col min="11008" max="11008" width="4.09765625" style="455" bestFit="1" customWidth="1"/>
    <col min="11009" max="11009" width="21.5" style="455" customWidth="1"/>
    <col min="11010" max="11010" width="7.5" style="455" customWidth="1"/>
    <col min="11011" max="11011" width="9" style="455" customWidth="1"/>
    <col min="11012" max="11012" width="8" style="455" customWidth="1"/>
    <col min="11013" max="11013" width="5.8984375" style="455" customWidth="1"/>
    <col min="11014" max="11014" width="6.69921875" style="455" customWidth="1"/>
    <col min="11015" max="11015" width="7.5" style="455" customWidth="1"/>
    <col min="11016" max="11016" width="7.19921875" style="455" customWidth="1"/>
    <col min="11017" max="11017" width="15.5" style="455" bestFit="1" customWidth="1"/>
    <col min="11018" max="11018" width="12.796875" style="455" customWidth="1"/>
    <col min="11019" max="11019" width="7.5" style="455" customWidth="1"/>
    <col min="11020" max="11020" width="15.5" style="455" bestFit="1" customWidth="1"/>
    <col min="11021" max="11021" width="13" style="455" customWidth="1"/>
    <col min="11022" max="11022" width="11.8984375" style="455" customWidth="1"/>
    <col min="11023" max="11023" width="16.796875" style="455" bestFit="1" customWidth="1"/>
    <col min="11024" max="11024" width="11.59765625" style="455" bestFit="1" customWidth="1"/>
    <col min="11025" max="11263" width="8.69921875" style="455"/>
    <col min="11264" max="11264" width="4.09765625" style="455" bestFit="1" customWidth="1"/>
    <col min="11265" max="11265" width="21.5" style="455" customWidth="1"/>
    <col min="11266" max="11266" width="7.5" style="455" customWidth="1"/>
    <col min="11267" max="11267" width="9" style="455" customWidth="1"/>
    <col min="11268" max="11268" width="8" style="455" customWidth="1"/>
    <col min="11269" max="11269" width="5.8984375" style="455" customWidth="1"/>
    <col min="11270" max="11270" width="6.69921875" style="455" customWidth="1"/>
    <col min="11271" max="11271" width="7.5" style="455" customWidth="1"/>
    <col min="11272" max="11272" width="7.19921875" style="455" customWidth="1"/>
    <col min="11273" max="11273" width="15.5" style="455" bestFit="1" customWidth="1"/>
    <col min="11274" max="11274" width="12.796875" style="455" customWidth="1"/>
    <col min="11275" max="11275" width="7.5" style="455" customWidth="1"/>
    <col min="11276" max="11276" width="15.5" style="455" bestFit="1" customWidth="1"/>
    <col min="11277" max="11277" width="13" style="455" customWidth="1"/>
    <col min="11278" max="11278" width="11.8984375" style="455" customWidth="1"/>
    <col min="11279" max="11279" width="16.796875" style="455" bestFit="1" customWidth="1"/>
    <col min="11280" max="11280" width="11.59765625" style="455" bestFit="1" customWidth="1"/>
    <col min="11281" max="11519" width="8.69921875" style="455"/>
    <col min="11520" max="11520" width="4.09765625" style="455" bestFit="1" customWidth="1"/>
    <col min="11521" max="11521" width="21.5" style="455" customWidth="1"/>
    <col min="11522" max="11522" width="7.5" style="455" customWidth="1"/>
    <col min="11523" max="11523" width="9" style="455" customWidth="1"/>
    <col min="11524" max="11524" width="8" style="455" customWidth="1"/>
    <col min="11525" max="11525" width="5.8984375" style="455" customWidth="1"/>
    <col min="11526" max="11526" width="6.69921875" style="455" customWidth="1"/>
    <col min="11527" max="11527" width="7.5" style="455" customWidth="1"/>
    <col min="11528" max="11528" width="7.19921875" style="455" customWidth="1"/>
    <col min="11529" max="11529" width="15.5" style="455" bestFit="1" customWidth="1"/>
    <col min="11530" max="11530" width="12.796875" style="455" customWidth="1"/>
    <col min="11531" max="11531" width="7.5" style="455" customWidth="1"/>
    <col min="11532" max="11532" width="15.5" style="455" bestFit="1" customWidth="1"/>
    <col min="11533" max="11533" width="13" style="455" customWidth="1"/>
    <col min="11534" max="11534" width="11.8984375" style="455" customWidth="1"/>
    <col min="11535" max="11535" width="16.796875" style="455" bestFit="1" customWidth="1"/>
    <col min="11536" max="11536" width="11.59765625" style="455" bestFit="1" customWidth="1"/>
    <col min="11537" max="11775" width="8.69921875" style="455"/>
    <col min="11776" max="11776" width="4.09765625" style="455" bestFit="1" customWidth="1"/>
    <col min="11777" max="11777" width="21.5" style="455" customWidth="1"/>
    <col min="11778" max="11778" width="7.5" style="455" customWidth="1"/>
    <col min="11779" max="11779" width="9" style="455" customWidth="1"/>
    <col min="11780" max="11780" width="8" style="455" customWidth="1"/>
    <col min="11781" max="11781" width="5.8984375" style="455" customWidth="1"/>
    <col min="11782" max="11782" width="6.69921875" style="455" customWidth="1"/>
    <col min="11783" max="11783" width="7.5" style="455" customWidth="1"/>
    <col min="11784" max="11784" width="7.19921875" style="455" customWidth="1"/>
    <col min="11785" max="11785" width="15.5" style="455" bestFit="1" customWidth="1"/>
    <col min="11786" max="11786" width="12.796875" style="455" customWidth="1"/>
    <col min="11787" max="11787" width="7.5" style="455" customWidth="1"/>
    <col min="11788" max="11788" width="15.5" style="455" bestFit="1" customWidth="1"/>
    <col min="11789" max="11789" width="13" style="455" customWidth="1"/>
    <col min="11790" max="11790" width="11.8984375" style="455" customWidth="1"/>
    <col min="11791" max="11791" width="16.796875" style="455" bestFit="1" customWidth="1"/>
    <col min="11792" max="11792" width="11.59765625" style="455" bestFit="1" customWidth="1"/>
    <col min="11793" max="12031" width="8.69921875" style="455"/>
    <col min="12032" max="12032" width="4.09765625" style="455" bestFit="1" customWidth="1"/>
    <col min="12033" max="12033" width="21.5" style="455" customWidth="1"/>
    <col min="12034" max="12034" width="7.5" style="455" customWidth="1"/>
    <col min="12035" max="12035" width="9" style="455" customWidth="1"/>
    <col min="12036" max="12036" width="8" style="455" customWidth="1"/>
    <col min="12037" max="12037" width="5.8984375" style="455" customWidth="1"/>
    <col min="12038" max="12038" width="6.69921875" style="455" customWidth="1"/>
    <col min="12039" max="12039" width="7.5" style="455" customWidth="1"/>
    <col min="12040" max="12040" width="7.19921875" style="455" customWidth="1"/>
    <col min="12041" max="12041" width="15.5" style="455" bestFit="1" customWidth="1"/>
    <col min="12042" max="12042" width="12.796875" style="455" customWidth="1"/>
    <col min="12043" max="12043" width="7.5" style="455" customWidth="1"/>
    <col min="12044" max="12044" width="15.5" style="455" bestFit="1" customWidth="1"/>
    <col min="12045" max="12045" width="13" style="455" customWidth="1"/>
    <col min="12046" max="12046" width="11.8984375" style="455" customWidth="1"/>
    <col min="12047" max="12047" width="16.796875" style="455" bestFit="1" customWidth="1"/>
    <col min="12048" max="12048" width="11.59765625" style="455" bestFit="1" customWidth="1"/>
    <col min="12049" max="12287" width="8.69921875" style="455"/>
    <col min="12288" max="12288" width="4.09765625" style="455" bestFit="1" customWidth="1"/>
    <col min="12289" max="12289" width="21.5" style="455" customWidth="1"/>
    <col min="12290" max="12290" width="7.5" style="455" customWidth="1"/>
    <col min="12291" max="12291" width="9" style="455" customWidth="1"/>
    <col min="12292" max="12292" width="8" style="455" customWidth="1"/>
    <col min="12293" max="12293" width="5.8984375" style="455" customWidth="1"/>
    <col min="12294" max="12294" width="6.69921875" style="455" customWidth="1"/>
    <col min="12295" max="12295" width="7.5" style="455" customWidth="1"/>
    <col min="12296" max="12296" width="7.19921875" style="455" customWidth="1"/>
    <col min="12297" max="12297" width="15.5" style="455" bestFit="1" customWidth="1"/>
    <col min="12298" max="12298" width="12.796875" style="455" customWidth="1"/>
    <col min="12299" max="12299" width="7.5" style="455" customWidth="1"/>
    <col min="12300" max="12300" width="15.5" style="455" bestFit="1" customWidth="1"/>
    <col min="12301" max="12301" width="13" style="455" customWidth="1"/>
    <col min="12302" max="12302" width="11.8984375" style="455" customWidth="1"/>
    <col min="12303" max="12303" width="16.796875" style="455" bestFit="1" customWidth="1"/>
    <col min="12304" max="12304" width="11.59765625" style="455" bestFit="1" customWidth="1"/>
    <col min="12305" max="12543" width="8.69921875" style="455"/>
    <col min="12544" max="12544" width="4.09765625" style="455" bestFit="1" customWidth="1"/>
    <col min="12545" max="12545" width="21.5" style="455" customWidth="1"/>
    <col min="12546" max="12546" width="7.5" style="455" customWidth="1"/>
    <col min="12547" max="12547" width="9" style="455" customWidth="1"/>
    <col min="12548" max="12548" width="8" style="455" customWidth="1"/>
    <col min="12549" max="12549" width="5.8984375" style="455" customWidth="1"/>
    <col min="12550" max="12550" width="6.69921875" style="455" customWidth="1"/>
    <col min="12551" max="12551" width="7.5" style="455" customWidth="1"/>
    <col min="12552" max="12552" width="7.19921875" style="455" customWidth="1"/>
    <col min="12553" max="12553" width="15.5" style="455" bestFit="1" customWidth="1"/>
    <col min="12554" max="12554" width="12.796875" style="455" customWidth="1"/>
    <col min="12555" max="12555" width="7.5" style="455" customWidth="1"/>
    <col min="12556" max="12556" width="15.5" style="455" bestFit="1" customWidth="1"/>
    <col min="12557" max="12557" width="13" style="455" customWidth="1"/>
    <col min="12558" max="12558" width="11.8984375" style="455" customWidth="1"/>
    <col min="12559" max="12559" width="16.796875" style="455" bestFit="1" customWidth="1"/>
    <col min="12560" max="12560" width="11.59765625" style="455" bestFit="1" customWidth="1"/>
    <col min="12561" max="12799" width="8.69921875" style="455"/>
    <col min="12800" max="12800" width="4.09765625" style="455" bestFit="1" customWidth="1"/>
    <col min="12801" max="12801" width="21.5" style="455" customWidth="1"/>
    <col min="12802" max="12802" width="7.5" style="455" customWidth="1"/>
    <col min="12803" max="12803" width="9" style="455" customWidth="1"/>
    <col min="12804" max="12804" width="8" style="455" customWidth="1"/>
    <col min="12805" max="12805" width="5.8984375" style="455" customWidth="1"/>
    <col min="12806" max="12806" width="6.69921875" style="455" customWidth="1"/>
    <col min="12807" max="12807" width="7.5" style="455" customWidth="1"/>
    <col min="12808" max="12808" width="7.19921875" style="455" customWidth="1"/>
    <col min="12809" max="12809" width="15.5" style="455" bestFit="1" customWidth="1"/>
    <col min="12810" max="12810" width="12.796875" style="455" customWidth="1"/>
    <col min="12811" max="12811" width="7.5" style="455" customWidth="1"/>
    <col min="12812" max="12812" width="15.5" style="455" bestFit="1" customWidth="1"/>
    <col min="12813" max="12813" width="13" style="455" customWidth="1"/>
    <col min="12814" max="12814" width="11.8984375" style="455" customWidth="1"/>
    <col min="12815" max="12815" width="16.796875" style="455" bestFit="1" customWidth="1"/>
    <col min="12816" max="12816" width="11.59765625" style="455" bestFit="1" customWidth="1"/>
    <col min="12817" max="13055" width="8.69921875" style="455"/>
    <col min="13056" max="13056" width="4.09765625" style="455" bestFit="1" customWidth="1"/>
    <col min="13057" max="13057" width="21.5" style="455" customWidth="1"/>
    <col min="13058" max="13058" width="7.5" style="455" customWidth="1"/>
    <col min="13059" max="13059" width="9" style="455" customWidth="1"/>
    <col min="13060" max="13060" width="8" style="455" customWidth="1"/>
    <col min="13061" max="13061" width="5.8984375" style="455" customWidth="1"/>
    <col min="13062" max="13062" width="6.69921875" style="455" customWidth="1"/>
    <col min="13063" max="13063" width="7.5" style="455" customWidth="1"/>
    <col min="13064" max="13064" width="7.19921875" style="455" customWidth="1"/>
    <col min="13065" max="13065" width="15.5" style="455" bestFit="1" customWidth="1"/>
    <col min="13066" max="13066" width="12.796875" style="455" customWidth="1"/>
    <col min="13067" max="13067" width="7.5" style="455" customWidth="1"/>
    <col min="13068" max="13068" width="15.5" style="455" bestFit="1" customWidth="1"/>
    <col min="13069" max="13069" width="13" style="455" customWidth="1"/>
    <col min="13070" max="13070" width="11.8984375" style="455" customWidth="1"/>
    <col min="13071" max="13071" width="16.796875" style="455" bestFit="1" customWidth="1"/>
    <col min="13072" max="13072" width="11.59765625" style="455" bestFit="1" customWidth="1"/>
    <col min="13073" max="13311" width="8.69921875" style="455"/>
    <col min="13312" max="13312" width="4.09765625" style="455" bestFit="1" customWidth="1"/>
    <col min="13313" max="13313" width="21.5" style="455" customWidth="1"/>
    <col min="13314" max="13314" width="7.5" style="455" customWidth="1"/>
    <col min="13315" max="13315" width="9" style="455" customWidth="1"/>
    <col min="13316" max="13316" width="8" style="455" customWidth="1"/>
    <col min="13317" max="13317" width="5.8984375" style="455" customWidth="1"/>
    <col min="13318" max="13318" width="6.69921875" style="455" customWidth="1"/>
    <col min="13319" max="13319" width="7.5" style="455" customWidth="1"/>
    <col min="13320" max="13320" width="7.19921875" style="455" customWidth="1"/>
    <col min="13321" max="13321" width="15.5" style="455" bestFit="1" customWidth="1"/>
    <col min="13322" max="13322" width="12.796875" style="455" customWidth="1"/>
    <col min="13323" max="13323" width="7.5" style="455" customWidth="1"/>
    <col min="13324" max="13324" width="15.5" style="455" bestFit="1" customWidth="1"/>
    <col min="13325" max="13325" width="13" style="455" customWidth="1"/>
    <col min="13326" max="13326" width="11.8984375" style="455" customWidth="1"/>
    <col min="13327" max="13327" width="16.796875" style="455" bestFit="1" customWidth="1"/>
    <col min="13328" max="13328" width="11.59765625" style="455" bestFit="1" customWidth="1"/>
    <col min="13329" max="13567" width="8.69921875" style="455"/>
    <col min="13568" max="13568" width="4.09765625" style="455" bestFit="1" customWidth="1"/>
    <col min="13569" max="13569" width="21.5" style="455" customWidth="1"/>
    <col min="13570" max="13570" width="7.5" style="455" customWidth="1"/>
    <col min="13571" max="13571" width="9" style="455" customWidth="1"/>
    <col min="13572" max="13572" width="8" style="455" customWidth="1"/>
    <col min="13573" max="13573" width="5.8984375" style="455" customWidth="1"/>
    <col min="13574" max="13574" width="6.69921875" style="455" customWidth="1"/>
    <col min="13575" max="13575" width="7.5" style="455" customWidth="1"/>
    <col min="13576" max="13576" width="7.19921875" style="455" customWidth="1"/>
    <col min="13577" max="13577" width="15.5" style="455" bestFit="1" customWidth="1"/>
    <col min="13578" max="13578" width="12.796875" style="455" customWidth="1"/>
    <col min="13579" max="13579" width="7.5" style="455" customWidth="1"/>
    <col min="13580" max="13580" width="15.5" style="455" bestFit="1" customWidth="1"/>
    <col min="13581" max="13581" width="13" style="455" customWidth="1"/>
    <col min="13582" max="13582" width="11.8984375" style="455" customWidth="1"/>
    <col min="13583" max="13583" width="16.796875" style="455" bestFit="1" customWidth="1"/>
    <col min="13584" max="13584" width="11.59765625" style="455" bestFit="1" customWidth="1"/>
    <col min="13585" max="13823" width="8.69921875" style="455"/>
    <col min="13824" max="13824" width="4.09765625" style="455" bestFit="1" customWidth="1"/>
    <col min="13825" max="13825" width="21.5" style="455" customWidth="1"/>
    <col min="13826" max="13826" width="7.5" style="455" customWidth="1"/>
    <col min="13827" max="13827" width="9" style="455" customWidth="1"/>
    <col min="13828" max="13828" width="8" style="455" customWidth="1"/>
    <col min="13829" max="13829" width="5.8984375" style="455" customWidth="1"/>
    <col min="13830" max="13830" width="6.69921875" style="455" customWidth="1"/>
    <col min="13831" max="13831" width="7.5" style="455" customWidth="1"/>
    <col min="13832" max="13832" width="7.19921875" style="455" customWidth="1"/>
    <col min="13833" max="13833" width="15.5" style="455" bestFit="1" customWidth="1"/>
    <col min="13834" max="13834" width="12.796875" style="455" customWidth="1"/>
    <col min="13835" max="13835" width="7.5" style="455" customWidth="1"/>
    <col min="13836" max="13836" width="15.5" style="455" bestFit="1" customWidth="1"/>
    <col min="13837" max="13837" width="13" style="455" customWidth="1"/>
    <col min="13838" max="13838" width="11.8984375" style="455" customWidth="1"/>
    <col min="13839" max="13839" width="16.796875" style="455" bestFit="1" customWidth="1"/>
    <col min="13840" max="13840" width="11.59765625" style="455" bestFit="1" customWidth="1"/>
    <col min="13841" max="14079" width="8.69921875" style="455"/>
    <col min="14080" max="14080" width="4.09765625" style="455" bestFit="1" customWidth="1"/>
    <col min="14081" max="14081" width="21.5" style="455" customWidth="1"/>
    <col min="14082" max="14082" width="7.5" style="455" customWidth="1"/>
    <col min="14083" max="14083" width="9" style="455" customWidth="1"/>
    <col min="14084" max="14084" width="8" style="455" customWidth="1"/>
    <col min="14085" max="14085" width="5.8984375" style="455" customWidth="1"/>
    <col min="14086" max="14086" width="6.69921875" style="455" customWidth="1"/>
    <col min="14087" max="14087" width="7.5" style="455" customWidth="1"/>
    <col min="14088" max="14088" width="7.19921875" style="455" customWidth="1"/>
    <col min="14089" max="14089" width="15.5" style="455" bestFit="1" customWidth="1"/>
    <col min="14090" max="14090" width="12.796875" style="455" customWidth="1"/>
    <col min="14091" max="14091" width="7.5" style="455" customWidth="1"/>
    <col min="14092" max="14092" width="15.5" style="455" bestFit="1" customWidth="1"/>
    <col min="14093" max="14093" width="13" style="455" customWidth="1"/>
    <col min="14094" max="14094" width="11.8984375" style="455" customWidth="1"/>
    <col min="14095" max="14095" width="16.796875" style="455" bestFit="1" customWidth="1"/>
    <col min="14096" max="14096" width="11.59765625" style="455" bestFit="1" customWidth="1"/>
    <col min="14097" max="14335" width="8.69921875" style="455"/>
    <col min="14336" max="14336" width="4.09765625" style="455" bestFit="1" customWidth="1"/>
    <col min="14337" max="14337" width="21.5" style="455" customWidth="1"/>
    <col min="14338" max="14338" width="7.5" style="455" customWidth="1"/>
    <col min="14339" max="14339" width="9" style="455" customWidth="1"/>
    <col min="14340" max="14340" width="8" style="455" customWidth="1"/>
    <col min="14341" max="14341" width="5.8984375" style="455" customWidth="1"/>
    <col min="14342" max="14342" width="6.69921875" style="455" customWidth="1"/>
    <col min="14343" max="14343" width="7.5" style="455" customWidth="1"/>
    <col min="14344" max="14344" width="7.19921875" style="455" customWidth="1"/>
    <col min="14345" max="14345" width="15.5" style="455" bestFit="1" customWidth="1"/>
    <col min="14346" max="14346" width="12.796875" style="455" customWidth="1"/>
    <col min="14347" max="14347" width="7.5" style="455" customWidth="1"/>
    <col min="14348" max="14348" width="15.5" style="455" bestFit="1" customWidth="1"/>
    <col min="14349" max="14349" width="13" style="455" customWidth="1"/>
    <col min="14350" max="14350" width="11.8984375" style="455" customWidth="1"/>
    <col min="14351" max="14351" width="16.796875" style="455" bestFit="1" customWidth="1"/>
    <col min="14352" max="14352" width="11.59765625" style="455" bestFit="1" customWidth="1"/>
    <col min="14353" max="14591" width="8.69921875" style="455"/>
    <col min="14592" max="14592" width="4.09765625" style="455" bestFit="1" customWidth="1"/>
    <col min="14593" max="14593" width="21.5" style="455" customWidth="1"/>
    <col min="14594" max="14594" width="7.5" style="455" customWidth="1"/>
    <col min="14595" max="14595" width="9" style="455" customWidth="1"/>
    <col min="14596" max="14596" width="8" style="455" customWidth="1"/>
    <col min="14597" max="14597" width="5.8984375" style="455" customWidth="1"/>
    <col min="14598" max="14598" width="6.69921875" style="455" customWidth="1"/>
    <col min="14599" max="14599" width="7.5" style="455" customWidth="1"/>
    <col min="14600" max="14600" width="7.19921875" style="455" customWidth="1"/>
    <col min="14601" max="14601" width="15.5" style="455" bestFit="1" customWidth="1"/>
    <col min="14602" max="14602" width="12.796875" style="455" customWidth="1"/>
    <col min="14603" max="14603" width="7.5" style="455" customWidth="1"/>
    <col min="14604" max="14604" width="15.5" style="455" bestFit="1" customWidth="1"/>
    <col min="14605" max="14605" width="13" style="455" customWidth="1"/>
    <col min="14606" max="14606" width="11.8984375" style="455" customWidth="1"/>
    <col min="14607" max="14607" width="16.796875" style="455" bestFit="1" customWidth="1"/>
    <col min="14608" max="14608" width="11.59765625" style="455" bestFit="1" customWidth="1"/>
    <col min="14609" max="14847" width="8.69921875" style="455"/>
    <col min="14848" max="14848" width="4.09765625" style="455" bestFit="1" customWidth="1"/>
    <col min="14849" max="14849" width="21.5" style="455" customWidth="1"/>
    <col min="14850" max="14850" width="7.5" style="455" customWidth="1"/>
    <col min="14851" max="14851" width="9" style="455" customWidth="1"/>
    <col min="14852" max="14852" width="8" style="455" customWidth="1"/>
    <col min="14853" max="14853" width="5.8984375" style="455" customWidth="1"/>
    <col min="14854" max="14854" width="6.69921875" style="455" customWidth="1"/>
    <col min="14855" max="14855" width="7.5" style="455" customWidth="1"/>
    <col min="14856" max="14856" width="7.19921875" style="455" customWidth="1"/>
    <col min="14857" max="14857" width="15.5" style="455" bestFit="1" customWidth="1"/>
    <col min="14858" max="14858" width="12.796875" style="455" customWidth="1"/>
    <col min="14859" max="14859" width="7.5" style="455" customWidth="1"/>
    <col min="14860" max="14860" width="15.5" style="455" bestFit="1" customWidth="1"/>
    <col min="14861" max="14861" width="13" style="455" customWidth="1"/>
    <col min="14862" max="14862" width="11.8984375" style="455" customWidth="1"/>
    <col min="14863" max="14863" width="16.796875" style="455" bestFit="1" customWidth="1"/>
    <col min="14864" max="14864" width="11.59765625" style="455" bestFit="1" customWidth="1"/>
    <col min="14865" max="15103" width="8.69921875" style="455"/>
    <col min="15104" max="15104" width="4.09765625" style="455" bestFit="1" customWidth="1"/>
    <col min="15105" max="15105" width="21.5" style="455" customWidth="1"/>
    <col min="15106" max="15106" width="7.5" style="455" customWidth="1"/>
    <col min="15107" max="15107" width="9" style="455" customWidth="1"/>
    <col min="15108" max="15108" width="8" style="455" customWidth="1"/>
    <col min="15109" max="15109" width="5.8984375" style="455" customWidth="1"/>
    <col min="15110" max="15110" width="6.69921875" style="455" customWidth="1"/>
    <col min="15111" max="15111" width="7.5" style="455" customWidth="1"/>
    <col min="15112" max="15112" width="7.19921875" style="455" customWidth="1"/>
    <col min="15113" max="15113" width="15.5" style="455" bestFit="1" customWidth="1"/>
    <col min="15114" max="15114" width="12.796875" style="455" customWidth="1"/>
    <col min="15115" max="15115" width="7.5" style="455" customWidth="1"/>
    <col min="15116" max="15116" width="15.5" style="455" bestFit="1" customWidth="1"/>
    <col min="15117" max="15117" width="13" style="455" customWidth="1"/>
    <col min="15118" max="15118" width="11.8984375" style="455" customWidth="1"/>
    <col min="15119" max="15119" width="16.796875" style="455" bestFit="1" customWidth="1"/>
    <col min="15120" max="15120" width="11.59765625" style="455" bestFit="1" customWidth="1"/>
    <col min="15121" max="15359" width="8.69921875" style="455"/>
    <col min="15360" max="15360" width="4.09765625" style="455" bestFit="1" customWidth="1"/>
    <col min="15361" max="15361" width="21.5" style="455" customWidth="1"/>
    <col min="15362" max="15362" width="7.5" style="455" customWidth="1"/>
    <col min="15363" max="15363" width="9" style="455" customWidth="1"/>
    <col min="15364" max="15364" width="8" style="455" customWidth="1"/>
    <col min="15365" max="15365" width="5.8984375" style="455" customWidth="1"/>
    <col min="15366" max="15366" width="6.69921875" style="455" customWidth="1"/>
    <col min="15367" max="15367" width="7.5" style="455" customWidth="1"/>
    <col min="15368" max="15368" width="7.19921875" style="455" customWidth="1"/>
    <col min="15369" max="15369" width="15.5" style="455" bestFit="1" customWidth="1"/>
    <col min="15370" max="15370" width="12.796875" style="455" customWidth="1"/>
    <col min="15371" max="15371" width="7.5" style="455" customWidth="1"/>
    <col min="15372" max="15372" width="15.5" style="455" bestFit="1" customWidth="1"/>
    <col min="15373" max="15373" width="13" style="455" customWidth="1"/>
    <col min="15374" max="15374" width="11.8984375" style="455" customWidth="1"/>
    <col min="15375" max="15375" width="16.796875" style="455" bestFit="1" customWidth="1"/>
    <col min="15376" max="15376" width="11.59765625" style="455" bestFit="1" customWidth="1"/>
    <col min="15377" max="15615" width="8.69921875" style="455"/>
    <col min="15616" max="15616" width="4.09765625" style="455" bestFit="1" customWidth="1"/>
    <col min="15617" max="15617" width="21.5" style="455" customWidth="1"/>
    <col min="15618" max="15618" width="7.5" style="455" customWidth="1"/>
    <col min="15619" max="15619" width="9" style="455" customWidth="1"/>
    <col min="15620" max="15620" width="8" style="455" customWidth="1"/>
    <col min="15621" max="15621" width="5.8984375" style="455" customWidth="1"/>
    <col min="15622" max="15622" width="6.69921875" style="455" customWidth="1"/>
    <col min="15623" max="15623" width="7.5" style="455" customWidth="1"/>
    <col min="15624" max="15624" width="7.19921875" style="455" customWidth="1"/>
    <col min="15625" max="15625" width="15.5" style="455" bestFit="1" customWidth="1"/>
    <col min="15626" max="15626" width="12.796875" style="455" customWidth="1"/>
    <col min="15627" max="15627" width="7.5" style="455" customWidth="1"/>
    <col min="15628" max="15628" width="15.5" style="455" bestFit="1" customWidth="1"/>
    <col min="15629" max="15629" width="13" style="455" customWidth="1"/>
    <col min="15630" max="15630" width="11.8984375" style="455" customWidth="1"/>
    <col min="15631" max="15631" width="16.796875" style="455" bestFit="1" customWidth="1"/>
    <col min="15632" max="15632" width="11.59765625" style="455" bestFit="1" customWidth="1"/>
    <col min="15633" max="15871" width="8.69921875" style="455"/>
    <col min="15872" max="15872" width="4.09765625" style="455" bestFit="1" customWidth="1"/>
    <col min="15873" max="15873" width="21.5" style="455" customWidth="1"/>
    <col min="15874" max="15874" width="7.5" style="455" customWidth="1"/>
    <col min="15875" max="15875" width="9" style="455" customWidth="1"/>
    <col min="15876" max="15876" width="8" style="455" customWidth="1"/>
    <col min="15877" max="15877" width="5.8984375" style="455" customWidth="1"/>
    <col min="15878" max="15878" width="6.69921875" style="455" customWidth="1"/>
    <col min="15879" max="15879" width="7.5" style="455" customWidth="1"/>
    <col min="15880" max="15880" width="7.19921875" style="455" customWidth="1"/>
    <col min="15881" max="15881" width="15.5" style="455" bestFit="1" customWidth="1"/>
    <col min="15882" max="15882" width="12.796875" style="455" customWidth="1"/>
    <col min="15883" max="15883" width="7.5" style="455" customWidth="1"/>
    <col min="15884" max="15884" width="15.5" style="455" bestFit="1" customWidth="1"/>
    <col min="15885" max="15885" width="13" style="455" customWidth="1"/>
    <col min="15886" max="15886" width="11.8984375" style="455" customWidth="1"/>
    <col min="15887" max="15887" width="16.796875" style="455" bestFit="1" customWidth="1"/>
    <col min="15888" max="15888" width="11.59765625" style="455" bestFit="1" customWidth="1"/>
    <col min="15889" max="16127" width="8.69921875" style="455"/>
    <col min="16128" max="16128" width="4.09765625" style="455" bestFit="1" customWidth="1"/>
    <col min="16129" max="16129" width="21.5" style="455" customWidth="1"/>
    <col min="16130" max="16130" width="7.5" style="455" customWidth="1"/>
    <col min="16131" max="16131" width="9" style="455" customWidth="1"/>
    <col min="16132" max="16132" width="8" style="455" customWidth="1"/>
    <col min="16133" max="16133" width="5.8984375" style="455" customWidth="1"/>
    <col min="16134" max="16134" width="6.69921875" style="455" customWidth="1"/>
    <col min="16135" max="16135" width="7.5" style="455" customWidth="1"/>
    <col min="16136" max="16136" width="7.19921875" style="455" customWidth="1"/>
    <col min="16137" max="16137" width="15.5" style="455" bestFit="1" customWidth="1"/>
    <col min="16138" max="16138" width="12.796875" style="455" customWidth="1"/>
    <col min="16139" max="16139" width="7.5" style="455" customWidth="1"/>
    <col min="16140" max="16140" width="15.5" style="455" bestFit="1" customWidth="1"/>
    <col min="16141" max="16141" width="13" style="455" customWidth="1"/>
    <col min="16142" max="16142" width="11.8984375" style="455" customWidth="1"/>
    <col min="16143" max="16143" width="16.796875" style="455" bestFit="1" customWidth="1"/>
    <col min="16144" max="16144" width="11.59765625" style="455" bestFit="1" customWidth="1"/>
    <col min="16145" max="16384" width="8.69921875" style="455"/>
  </cols>
  <sheetData>
    <row r="1" spans="1:16" x14ac:dyDescent="0.25">
      <c r="A1" s="786"/>
      <c r="B1" s="786"/>
      <c r="C1" s="786"/>
      <c r="D1" s="786"/>
      <c r="N1" s="779" t="s">
        <v>903</v>
      </c>
      <c r="O1" s="779"/>
    </row>
    <row r="2" spans="1:16" x14ac:dyDescent="0.25">
      <c r="A2" s="787"/>
      <c r="B2" s="787"/>
      <c r="C2" s="787"/>
      <c r="D2" s="787"/>
    </row>
    <row r="3" spans="1:16" s="456" customFormat="1" x14ac:dyDescent="0.25">
      <c r="A3" s="788" t="s">
        <v>989</v>
      </c>
      <c r="B3" s="788"/>
      <c r="C3" s="788"/>
      <c r="D3" s="788"/>
      <c r="E3" s="788"/>
      <c r="F3" s="788"/>
      <c r="G3" s="788"/>
      <c r="H3" s="788"/>
      <c r="I3" s="788"/>
      <c r="J3" s="788"/>
      <c r="K3" s="788"/>
      <c r="L3" s="788"/>
      <c r="M3" s="788"/>
      <c r="N3" s="788"/>
      <c r="O3" s="788"/>
    </row>
    <row r="4" spans="1:16" x14ac:dyDescent="0.25">
      <c r="A4" s="457"/>
      <c r="B4" s="458"/>
      <c r="O4" s="460"/>
    </row>
    <row r="5" spans="1:16" x14ac:dyDescent="0.25">
      <c r="A5" s="785" t="s">
        <v>6</v>
      </c>
      <c r="B5" s="785" t="s">
        <v>0</v>
      </c>
      <c r="C5" s="785" t="s">
        <v>809</v>
      </c>
      <c r="D5" s="789" t="s">
        <v>54</v>
      </c>
      <c r="E5" s="790"/>
      <c r="F5" s="790"/>
      <c r="G5" s="790"/>
      <c r="H5" s="790"/>
      <c r="I5" s="790"/>
      <c r="J5" s="777" t="s">
        <v>892</v>
      </c>
      <c r="K5" s="777" t="s">
        <v>893</v>
      </c>
      <c r="L5" s="783" t="s">
        <v>55</v>
      </c>
      <c r="M5" s="785" t="s">
        <v>56</v>
      </c>
      <c r="N5" s="785"/>
      <c r="O5" s="783" t="s">
        <v>894</v>
      </c>
    </row>
    <row r="6" spans="1:16" s="466" customFormat="1" ht="47.25" x14ac:dyDescent="0.3">
      <c r="A6" s="785"/>
      <c r="B6" s="785"/>
      <c r="C6" s="785"/>
      <c r="D6" s="461" t="s">
        <v>57</v>
      </c>
      <c r="E6" s="462" t="s">
        <v>58</v>
      </c>
      <c r="F6" s="462" t="s">
        <v>59</v>
      </c>
      <c r="G6" s="462" t="s">
        <v>813</v>
      </c>
      <c r="H6" s="462" t="s">
        <v>814</v>
      </c>
      <c r="I6" s="462" t="s">
        <v>60</v>
      </c>
      <c r="J6" s="778"/>
      <c r="K6" s="778"/>
      <c r="L6" s="784"/>
      <c r="M6" s="463" t="s">
        <v>61</v>
      </c>
      <c r="N6" s="464" t="s">
        <v>895</v>
      </c>
      <c r="O6" s="784"/>
      <c r="P6" s="465"/>
    </row>
    <row r="7" spans="1:16" s="469" customFormat="1" ht="38.25" x14ac:dyDescent="0.3">
      <c r="A7" s="467" t="s">
        <v>15</v>
      </c>
      <c r="B7" s="467" t="s">
        <v>16</v>
      </c>
      <c r="C7" s="467">
        <v>1</v>
      </c>
      <c r="D7" s="467" t="s">
        <v>815</v>
      </c>
      <c r="E7" s="467">
        <v>3</v>
      </c>
      <c r="F7" s="467">
        <v>4</v>
      </c>
      <c r="G7" s="467">
        <v>5</v>
      </c>
      <c r="H7" s="467">
        <v>6</v>
      </c>
      <c r="I7" s="467">
        <v>7</v>
      </c>
      <c r="J7" s="400" t="s">
        <v>896</v>
      </c>
      <c r="K7" s="468" t="s">
        <v>897</v>
      </c>
      <c r="L7" s="468" t="s">
        <v>898</v>
      </c>
      <c r="M7" s="467"/>
      <c r="N7" s="467">
        <v>11</v>
      </c>
      <c r="O7" s="467" t="s">
        <v>899</v>
      </c>
    </row>
    <row r="8" spans="1:16" s="477" customFormat="1" ht="16.5" x14ac:dyDescent="0.3">
      <c r="A8" s="470">
        <v>1</v>
      </c>
      <c r="B8" s="471" t="s">
        <v>900</v>
      </c>
      <c r="C8" s="472">
        <v>2.34</v>
      </c>
      <c r="D8" s="470">
        <f t="shared" ref="D8:D19" si="0">E8+F8+G8+H8+I8</f>
        <v>0.4</v>
      </c>
      <c r="E8" s="473"/>
      <c r="F8" s="474"/>
      <c r="G8" s="475"/>
      <c r="H8" s="474">
        <v>0.4</v>
      </c>
      <c r="I8" s="474"/>
      <c r="J8" s="476">
        <f>(C8+D8)*1800000*12</f>
        <v>59184000</v>
      </c>
      <c r="K8" s="476">
        <f>26*20000*12</f>
        <v>6240000</v>
      </c>
      <c r="L8" s="414">
        <f>(C8+E8+F8)*1800000*23.5/100*12</f>
        <v>11877840</v>
      </c>
      <c r="M8" s="476">
        <v>200</v>
      </c>
      <c r="N8" s="414">
        <f>(C8+E8+F8+H8)*1800000/26/8*44*2*2+(C8+E8+F8+H8)*1800000/26/8*56*3*2</f>
        <v>12140307.692307692</v>
      </c>
      <c r="O8" s="476">
        <f>N8+J8+K8+L8</f>
        <v>89442147.692307696</v>
      </c>
    </row>
    <row r="9" spans="1:16" s="477" customFormat="1" ht="16.5" x14ac:dyDescent="0.3">
      <c r="A9" s="470">
        <v>2</v>
      </c>
      <c r="B9" s="471" t="s">
        <v>900</v>
      </c>
      <c r="C9" s="472">
        <f>2.34</f>
        <v>2.34</v>
      </c>
      <c r="D9" s="470">
        <f t="shared" si="0"/>
        <v>0.4</v>
      </c>
      <c r="E9" s="473"/>
      <c r="F9" s="474"/>
      <c r="G9" s="475"/>
      <c r="H9" s="474">
        <v>0.4</v>
      </c>
      <c r="I9" s="474"/>
      <c r="J9" s="476">
        <f t="shared" ref="J9:J19" si="1">(C9+D9)*1800000*12</f>
        <v>59184000</v>
      </c>
      <c r="K9" s="476">
        <f t="shared" ref="K9:K13" si="2">26*20000*12</f>
        <v>6240000</v>
      </c>
      <c r="L9" s="414">
        <f t="shared" ref="L9:L19" si="3">(C9+E9+F9)*1800000*23.5/100*12</f>
        <v>11877840</v>
      </c>
      <c r="M9" s="476">
        <v>200</v>
      </c>
      <c r="N9" s="414">
        <f t="shared" ref="N9:N19" si="4">(C9+E9+F9+H9)*1800000/26/8*44*2*2+(C9+E9+F9+H9)*1800000/26/8*56*3*2</f>
        <v>12140307.692307692</v>
      </c>
      <c r="O9" s="476">
        <f t="shared" ref="O9:O19" si="5">N9+J9+K9+L9</f>
        <v>89442147.692307696</v>
      </c>
    </row>
    <row r="10" spans="1:16" s="477" customFormat="1" ht="16.5" x14ac:dyDescent="0.3">
      <c r="A10" s="470">
        <v>3</v>
      </c>
      <c r="B10" s="471" t="s">
        <v>900</v>
      </c>
      <c r="C10" s="472">
        <f t="shared" ref="C10:C12" si="6">2.34</f>
        <v>2.34</v>
      </c>
      <c r="D10" s="470">
        <f t="shared" si="0"/>
        <v>0.4</v>
      </c>
      <c r="E10" s="473"/>
      <c r="F10" s="474"/>
      <c r="G10" s="475"/>
      <c r="H10" s="474">
        <v>0.4</v>
      </c>
      <c r="I10" s="474"/>
      <c r="J10" s="476">
        <f t="shared" si="1"/>
        <v>59184000</v>
      </c>
      <c r="K10" s="476">
        <f t="shared" si="2"/>
        <v>6240000</v>
      </c>
      <c r="L10" s="414">
        <f t="shared" si="3"/>
        <v>11877840</v>
      </c>
      <c r="M10" s="476">
        <v>200</v>
      </c>
      <c r="N10" s="414">
        <f t="shared" si="4"/>
        <v>12140307.692307692</v>
      </c>
      <c r="O10" s="476">
        <f t="shared" si="5"/>
        <v>89442147.692307696</v>
      </c>
    </row>
    <row r="11" spans="1:16" s="477" customFormat="1" ht="16.5" x14ac:dyDescent="0.3">
      <c r="A11" s="470">
        <v>4</v>
      </c>
      <c r="B11" s="471" t="s">
        <v>900</v>
      </c>
      <c r="C11" s="472">
        <f t="shared" si="6"/>
        <v>2.34</v>
      </c>
      <c r="D11" s="470">
        <f t="shared" si="0"/>
        <v>0.4</v>
      </c>
      <c r="E11" s="473"/>
      <c r="F11" s="474"/>
      <c r="G11" s="475"/>
      <c r="H11" s="474">
        <v>0.4</v>
      </c>
      <c r="I11" s="474"/>
      <c r="J11" s="476">
        <f t="shared" si="1"/>
        <v>59184000</v>
      </c>
      <c r="K11" s="476">
        <f t="shared" si="2"/>
        <v>6240000</v>
      </c>
      <c r="L11" s="414">
        <f t="shared" si="3"/>
        <v>11877840</v>
      </c>
      <c r="M11" s="476">
        <v>200</v>
      </c>
      <c r="N11" s="414">
        <f t="shared" si="4"/>
        <v>12140307.692307692</v>
      </c>
      <c r="O11" s="476">
        <f t="shared" si="5"/>
        <v>89442147.692307696</v>
      </c>
    </row>
    <row r="12" spans="1:16" s="477" customFormat="1" ht="16.5" x14ac:dyDescent="0.3">
      <c r="A12" s="470">
        <v>5</v>
      </c>
      <c r="B12" s="471" t="s">
        <v>900</v>
      </c>
      <c r="C12" s="472">
        <f t="shared" si="6"/>
        <v>2.34</v>
      </c>
      <c r="D12" s="470">
        <f t="shared" si="0"/>
        <v>0.4</v>
      </c>
      <c r="E12" s="473"/>
      <c r="F12" s="474"/>
      <c r="G12" s="475"/>
      <c r="H12" s="474">
        <v>0.4</v>
      </c>
      <c r="I12" s="474"/>
      <c r="J12" s="476">
        <f t="shared" si="1"/>
        <v>59184000</v>
      </c>
      <c r="K12" s="476">
        <f t="shared" si="2"/>
        <v>6240000</v>
      </c>
      <c r="L12" s="414">
        <f t="shared" si="3"/>
        <v>11877840</v>
      </c>
      <c r="M12" s="476">
        <v>200</v>
      </c>
      <c r="N12" s="414">
        <f t="shared" si="4"/>
        <v>12140307.692307692</v>
      </c>
      <c r="O12" s="476">
        <f t="shared" si="5"/>
        <v>89442147.692307696</v>
      </c>
    </row>
    <row r="13" spans="1:16" s="477" customFormat="1" ht="16.5" x14ac:dyDescent="0.3">
      <c r="A13" s="470">
        <v>6</v>
      </c>
      <c r="B13" s="471" t="s">
        <v>900</v>
      </c>
      <c r="C13" s="472">
        <v>3</v>
      </c>
      <c r="D13" s="470">
        <f t="shared" si="0"/>
        <v>0.4</v>
      </c>
      <c r="E13" s="473"/>
      <c r="F13" s="474"/>
      <c r="G13" s="475"/>
      <c r="H13" s="474">
        <v>0.4</v>
      </c>
      <c r="I13" s="474"/>
      <c r="J13" s="476">
        <f t="shared" si="1"/>
        <v>73440000</v>
      </c>
      <c r="K13" s="476">
        <f t="shared" si="2"/>
        <v>6240000</v>
      </c>
      <c r="L13" s="414">
        <f t="shared" si="3"/>
        <v>15228000</v>
      </c>
      <c r="M13" s="476">
        <v>200</v>
      </c>
      <c r="N13" s="414">
        <f t="shared" si="4"/>
        <v>15064615.384615382</v>
      </c>
      <c r="O13" s="476">
        <f t="shared" si="5"/>
        <v>109972615.38461538</v>
      </c>
    </row>
    <row r="14" spans="1:16" s="477" customFormat="1" ht="16.5" x14ac:dyDescent="0.3">
      <c r="A14" s="470">
        <v>7</v>
      </c>
      <c r="B14" s="471" t="s">
        <v>901</v>
      </c>
      <c r="C14" s="472">
        <v>2.34</v>
      </c>
      <c r="D14" s="470">
        <f t="shared" si="0"/>
        <v>0.4</v>
      </c>
      <c r="E14" s="473"/>
      <c r="F14" s="474"/>
      <c r="G14" s="475"/>
      <c r="H14" s="474">
        <v>0.4</v>
      </c>
      <c r="I14" s="474"/>
      <c r="J14" s="476">
        <f t="shared" si="1"/>
        <v>59184000</v>
      </c>
      <c r="K14" s="476"/>
      <c r="L14" s="414">
        <f t="shared" si="3"/>
        <v>11877840</v>
      </c>
      <c r="M14" s="476">
        <v>200</v>
      </c>
      <c r="N14" s="414">
        <f t="shared" si="4"/>
        <v>12140307.692307692</v>
      </c>
      <c r="O14" s="476">
        <f t="shared" si="5"/>
        <v>83202147.692307696</v>
      </c>
    </row>
    <row r="15" spans="1:16" s="477" customFormat="1" ht="16.5" x14ac:dyDescent="0.3">
      <c r="A15" s="470">
        <v>8</v>
      </c>
      <c r="B15" s="471" t="s">
        <v>901</v>
      </c>
      <c r="C15" s="472">
        <v>3</v>
      </c>
      <c r="D15" s="470">
        <f t="shared" si="0"/>
        <v>0.4</v>
      </c>
      <c r="E15" s="473"/>
      <c r="F15" s="474"/>
      <c r="G15" s="475"/>
      <c r="H15" s="474">
        <v>0.4</v>
      </c>
      <c r="I15" s="474"/>
      <c r="J15" s="476">
        <f t="shared" si="1"/>
        <v>73440000</v>
      </c>
      <c r="K15" s="476"/>
      <c r="L15" s="414">
        <f t="shared" si="3"/>
        <v>15228000</v>
      </c>
      <c r="M15" s="476">
        <v>200</v>
      </c>
      <c r="N15" s="414">
        <f t="shared" si="4"/>
        <v>15064615.384615382</v>
      </c>
      <c r="O15" s="476">
        <f t="shared" si="5"/>
        <v>103732615.38461538</v>
      </c>
    </row>
    <row r="16" spans="1:16" s="477" customFormat="1" ht="16.5" x14ac:dyDescent="0.3">
      <c r="A16" s="470">
        <v>9</v>
      </c>
      <c r="B16" s="471" t="s">
        <v>902</v>
      </c>
      <c r="C16" s="472">
        <f t="shared" ref="C16:C18" si="7">2.34</f>
        <v>2.34</v>
      </c>
      <c r="D16" s="470">
        <f t="shared" si="0"/>
        <v>0.4</v>
      </c>
      <c r="E16" s="473"/>
      <c r="F16" s="474"/>
      <c r="G16" s="475"/>
      <c r="H16" s="474">
        <v>0.4</v>
      </c>
      <c r="I16" s="474"/>
      <c r="J16" s="476">
        <f t="shared" si="1"/>
        <v>59184000</v>
      </c>
      <c r="K16" s="476"/>
      <c r="L16" s="414">
        <f t="shared" si="3"/>
        <v>11877840</v>
      </c>
      <c r="M16" s="476">
        <v>200</v>
      </c>
      <c r="N16" s="414">
        <f t="shared" si="4"/>
        <v>12140307.692307692</v>
      </c>
      <c r="O16" s="476">
        <f t="shared" si="5"/>
        <v>83202147.692307696</v>
      </c>
    </row>
    <row r="17" spans="1:16" s="477" customFormat="1" ht="16.5" x14ac:dyDescent="0.3">
      <c r="A17" s="470">
        <v>10</v>
      </c>
      <c r="B17" s="471" t="s">
        <v>902</v>
      </c>
      <c r="C17" s="472">
        <f t="shared" si="7"/>
        <v>2.34</v>
      </c>
      <c r="D17" s="470">
        <f t="shared" si="0"/>
        <v>0.4</v>
      </c>
      <c r="E17" s="473"/>
      <c r="F17" s="474"/>
      <c r="G17" s="475"/>
      <c r="H17" s="474">
        <v>0.4</v>
      </c>
      <c r="I17" s="474"/>
      <c r="J17" s="476">
        <f t="shared" si="1"/>
        <v>59184000</v>
      </c>
      <c r="K17" s="476"/>
      <c r="L17" s="414">
        <f t="shared" si="3"/>
        <v>11877840</v>
      </c>
      <c r="M17" s="476">
        <v>200</v>
      </c>
      <c r="N17" s="414">
        <f t="shared" si="4"/>
        <v>12140307.692307692</v>
      </c>
      <c r="O17" s="476">
        <f t="shared" si="5"/>
        <v>83202147.692307696</v>
      </c>
    </row>
    <row r="18" spans="1:16" s="477" customFormat="1" ht="16.5" x14ac:dyDescent="0.3">
      <c r="A18" s="470">
        <v>10</v>
      </c>
      <c r="B18" s="471" t="s">
        <v>902</v>
      </c>
      <c r="C18" s="472">
        <f t="shared" si="7"/>
        <v>2.34</v>
      </c>
      <c r="D18" s="470">
        <f t="shared" si="0"/>
        <v>0.4</v>
      </c>
      <c r="E18" s="473"/>
      <c r="F18" s="474"/>
      <c r="G18" s="475"/>
      <c r="H18" s="474">
        <v>0.4</v>
      </c>
      <c r="I18" s="474"/>
      <c r="J18" s="476">
        <f t="shared" si="1"/>
        <v>59184000</v>
      </c>
      <c r="K18" s="476"/>
      <c r="L18" s="414">
        <f t="shared" si="3"/>
        <v>11877840</v>
      </c>
      <c r="M18" s="476">
        <v>200</v>
      </c>
      <c r="N18" s="414">
        <f t="shared" si="4"/>
        <v>12140307.692307692</v>
      </c>
      <c r="O18" s="476">
        <f t="shared" si="5"/>
        <v>83202147.692307696</v>
      </c>
    </row>
    <row r="19" spans="1:16" s="477" customFormat="1" ht="16.5" x14ac:dyDescent="0.3">
      <c r="A19" s="470">
        <v>11</v>
      </c>
      <c r="B19" s="471" t="s">
        <v>902</v>
      </c>
      <c r="C19" s="472">
        <v>3</v>
      </c>
      <c r="D19" s="470">
        <f t="shared" si="0"/>
        <v>0.4</v>
      </c>
      <c r="E19" s="473"/>
      <c r="F19" s="474"/>
      <c r="G19" s="475"/>
      <c r="H19" s="474">
        <v>0.4</v>
      </c>
      <c r="I19" s="474"/>
      <c r="J19" s="476">
        <f t="shared" si="1"/>
        <v>73440000</v>
      </c>
      <c r="K19" s="476"/>
      <c r="L19" s="414">
        <f t="shared" si="3"/>
        <v>15228000</v>
      </c>
      <c r="M19" s="476">
        <v>200</v>
      </c>
      <c r="N19" s="414">
        <f t="shared" si="4"/>
        <v>15064615.384615382</v>
      </c>
      <c r="O19" s="476">
        <f t="shared" si="5"/>
        <v>103732615.38461538</v>
      </c>
    </row>
    <row r="20" spans="1:16" s="477" customFormat="1" x14ac:dyDescent="0.3">
      <c r="A20" s="464"/>
      <c r="B20" s="464" t="s">
        <v>62</v>
      </c>
      <c r="C20" s="478">
        <f>SUBTOTAL(9,C8:C19)</f>
        <v>30.06</v>
      </c>
      <c r="D20" s="478">
        <f>SUBTOTAL(9,D8:D19)</f>
        <v>4.8</v>
      </c>
      <c r="E20" s="478">
        <f>SUBTOTAL(9,E8:E15)</f>
        <v>0</v>
      </c>
      <c r="F20" s="478">
        <f>SUBTOTAL(9,F8:F15)</f>
        <v>0</v>
      </c>
      <c r="G20" s="478">
        <f>SUBTOTAL(9,G8:G15)</f>
        <v>0</v>
      </c>
      <c r="H20" s="478">
        <f>SUBTOTAL(9,H8:H19)</f>
        <v>4.8</v>
      </c>
      <c r="I20" s="478">
        <f>SUBTOTAL(9,I8:I15)</f>
        <v>0</v>
      </c>
      <c r="J20" s="479">
        <f t="shared" ref="J20:O20" si="8">SUBTOTAL(9,J8:J19)</f>
        <v>752976000</v>
      </c>
      <c r="K20" s="479">
        <f t="shared" si="8"/>
        <v>37440000</v>
      </c>
      <c r="L20" s="479">
        <f t="shared" si="8"/>
        <v>152584560</v>
      </c>
      <c r="M20" s="479">
        <f t="shared" si="8"/>
        <v>2400</v>
      </c>
      <c r="N20" s="479">
        <f t="shared" si="8"/>
        <v>154456615.38461539</v>
      </c>
      <c r="O20" s="479">
        <f t="shared" si="8"/>
        <v>1097457175.3846154</v>
      </c>
      <c r="P20" s="480"/>
    </row>
    <row r="21" spans="1:16" x14ac:dyDescent="0.25">
      <c r="B21" s="455"/>
      <c r="P21" s="482"/>
    </row>
    <row r="27" spans="1:16" s="453" customFormat="1" x14ac:dyDescent="0.25">
      <c r="A27" s="481"/>
      <c r="B27" s="483"/>
      <c r="C27" s="459"/>
      <c r="D27" s="459"/>
      <c r="E27" s="484"/>
      <c r="J27" s="454"/>
      <c r="K27" s="454"/>
      <c r="L27" s="454"/>
      <c r="M27" s="454"/>
      <c r="N27" s="454"/>
      <c r="O27" s="454"/>
    </row>
    <row r="28" spans="1:16" s="453" customFormat="1" x14ac:dyDescent="0.25">
      <c r="A28" s="481"/>
      <c r="B28" s="483"/>
      <c r="C28" s="459"/>
      <c r="D28" s="459"/>
      <c r="E28" s="484"/>
      <c r="J28" s="454"/>
      <c r="K28" s="454"/>
      <c r="L28" s="454"/>
      <c r="M28" s="454"/>
      <c r="N28" s="454"/>
      <c r="O28" s="454"/>
    </row>
  </sheetData>
  <mergeCells count="13">
    <mergeCell ref="L5:L6"/>
    <mergeCell ref="M5:N5"/>
    <mergeCell ref="O5:O6"/>
    <mergeCell ref="A1:D1"/>
    <mergeCell ref="N1:O1"/>
    <mergeCell ref="A2:D2"/>
    <mergeCell ref="A3:O3"/>
    <mergeCell ref="A5:A6"/>
    <mergeCell ref="B5:B6"/>
    <mergeCell ref="C5:C6"/>
    <mergeCell ref="D5:I5"/>
    <mergeCell ref="J5:J6"/>
    <mergeCell ref="K5:K6"/>
  </mergeCells>
  <pageMargins left="0.7" right="0.45" top="0.75" bottom="0.75" header="0.3" footer="0.3"/>
  <pageSetup paperSize="9" scale="70" fitToWidth="0" fitToHeight="0"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51"/>
  <sheetViews>
    <sheetView zoomScale="85" zoomScaleNormal="85" workbookViewId="0">
      <selection activeCell="A3" sqref="A3:G3"/>
    </sheetView>
  </sheetViews>
  <sheetFormatPr defaultColWidth="8.69921875" defaultRowHeight="15" x14ac:dyDescent="0.25"/>
  <cols>
    <col min="1" max="1" width="5.5" style="485" customWidth="1"/>
    <col min="2" max="2" width="37" style="485" customWidth="1"/>
    <col min="3" max="3" width="12.3984375" style="485" customWidth="1"/>
    <col min="4" max="4" width="14.5" style="485" customWidth="1"/>
    <col min="5" max="5" width="13.69921875" style="485" customWidth="1"/>
    <col min="6" max="6" width="13" style="485" customWidth="1"/>
    <col min="7" max="7" width="31.69921875" style="485" customWidth="1"/>
    <col min="8" max="16384" width="8.69921875" style="485"/>
  </cols>
  <sheetData>
    <row r="1" spans="1:11" ht="15.75" x14ac:dyDescent="0.25">
      <c r="A1" s="795"/>
      <c r="B1" s="795"/>
      <c r="F1" s="779" t="s">
        <v>955</v>
      </c>
      <c r="G1" s="779"/>
    </row>
    <row r="2" spans="1:11" x14ac:dyDescent="0.25">
      <c r="A2" s="760"/>
      <c r="B2" s="796"/>
      <c r="C2" s="486"/>
      <c r="D2" s="487"/>
      <c r="E2" s="487"/>
      <c r="F2" s="487"/>
      <c r="G2" s="488"/>
    </row>
    <row r="3" spans="1:11" x14ac:dyDescent="0.25">
      <c r="A3" s="797" t="s">
        <v>990</v>
      </c>
      <c r="B3" s="796"/>
      <c r="C3" s="796"/>
      <c r="D3" s="796"/>
      <c r="E3" s="796"/>
      <c r="F3" s="796"/>
      <c r="G3" s="796"/>
    </row>
    <row r="4" spans="1:11" x14ac:dyDescent="0.25">
      <c r="A4" s="489"/>
    </row>
    <row r="5" spans="1:11" ht="15.75" x14ac:dyDescent="0.25">
      <c r="A5" s="490"/>
      <c r="B5" s="491"/>
      <c r="C5" s="491"/>
      <c r="D5" s="491"/>
      <c r="E5" s="491"/>
      <c r="F5" s="491"/>
      <c r="G5" s="492" t="s">
        <v>904</v>
      </c>
    </row>
    <row r="6" spans="1:11" ht="15" customHeight="1" x14ac:dyDescent="0.25">
      <c r="A6" s="798" t="s">
        <v>6</v>
      </c>
      <c r="B6" s="800" t="s">
        <v>0</v>
      </c>
      <c r="C6" s="801" t="s">
        <v>905</v>
      </c>
      <c r="D6" s="803" t="s">
        <v>906</v>
      </c>
      <c r="E6" s="803" t="s">
        <v>907</v>
      </c>
      <c r="F6" s="805" t="s">
        <v>908</v>
      </c>
      <c r="G6" s="791" t="s">
        <v>24</v>
      </c>
    </row>
    <row r="7" spans="1:11" x14ac:dyDescent="0.25">
      <c r="A7" s="799"/>
      <c r="B7" s="799"/>
      <c r="C7" s="802"/>
      <c r="D7" s="804"/>
      <c r="E7" s="804"/>
      <c r="F7" s="799"/>
      <c r="G7" s="792"/>
    </row>
    <row r="8" spans="1:11" s="496" customFormat="1" ht="28.5" x14ac:dyDescent="0.3">
      <c r="A8" s="493"/>
      <c r="B8" s="494" t="s">
        <v>909</v>
      </c>
      <c r="C8" s="495">
        <f>C9+C14</f>
        <v>10686200000</v>
      </c>
      <c r="D8" s="495">
        <f>D9+D14</f>
        <v>3410200000</v>
      </c>
      <c r="E8" s="495">
        <f t="shared" ref="E8:F8" si="0">E9+E14</f>
        <v>3713000000</v>
      </c>
      <c r="F8" s="495">
        <f t="shared" si="0"/>
        <v>3563000000</v>
      </c>
      <c r="G8" s="493"/>
    </row>
    <row r="9" spans="1:11" x14ac:dyDescent="0.25">
      <c r="A9" s="497">
        <v>1</v>
      </c>
      <c r="B9" s="498" t="s">
        <v>910</v>
      </c>
      <c r="C9" s="499">
        <f t="shared" ref="C9" si="1">C10+C11+C12+C13</f>
        <v>4830000000</v>
      </c>
      <c r="D9" s="499">
        <f>D10+D11+D12+D13</f>
        <v>1660000000</v>
      </c>
      <c r="E9" s="499">
        <f t="shared" ref="E9:F9" si="2">E10+E11+E12+E13</f>
        <v>1660000000</v>
      </c>
      <c r="F9" s="499">
        <f t="shared" si="2"/>
        <v>1510000000</v>
      </c>
      <c r="G9" s="500" t="s">
        <v>911</v>
      </c>
      <c r="K9" s="501"/>
    </row>
    <row r="10" spans="1:11" x14ac:dyDescent="0.25">
      <c r="A10" s="502">
        <v>1.1000000000000001</v>
      </c>
      <c r="B10" s="503" t="s">
        <v>912</v>
      </c>
      <c r="C10" s="504">
        <f>+D10+E10+F10</f>
        <v>300000000</v>
      </c>
      <c r="D10" s="505">
        <v>150000000</v>
      </c>
      <c r="E10" s="505">
        <v>150000000</v>
      </c>
      <c r="F10" s="505"/>
      <c r="G10" s="308"/>
    </row>
    <row r="11" spans="1:11" ht="150" x14ac:dyDescent="0.25">
      <c r="A11" s="502">
        <v>1.2</v>
      </c>
      <c r="B11" s="503" t="s">
        <v>913</v>
      </c>
      <c r="C11" s="504">
        <f t="shared" ref="C11:C15" si="3">+D11+E11+F11</f>
        <v>1500000000</v>
      </c>
      <c r="D11" s="505">
        <v>500000000</v>
      </c>
      <c r="E11" s="505">
        <v>500000000</v>
      </c>
      <c r="F11" s="505">
        <v>500000000</v>
      </c>
      <c r="G11" s="311" t="s">
        <v>914</v>
      </c>
    </row>
    <row r="12" spans="1:11" ht="105" x14ac:dyDescent="0.25">
      <c r="A12" s="502">
        <v>1.3</v>
      </c>
      <c r="B12" s="503" t="s">
        <v>915</v>
      </c>
      <c r="C12" s="504">
        <f t="shared" si="3"/>
        <v>330000000</v>
      </c>
      <c r="D12" s="505">
        <v>110000000</v>
      </c>
      <c r="E12" s="505">
        <v>110000000</v>
      </c>
      <c r="F12" s="505">
        <v>110000000</v>
      </c>
      <c r="G12" s="308"/>
    </row>
    <row r="13" spans="1:11" ht="45" x14ac:dyDescent="0.25">
      <c r="A13" s="502">
        <v>1.4</v>
      </c>
      <c r="B13" s="503" t="s">
        <v>916</v>
      </c>
      <c r="C13" s="504">
        <f t="shared" si="3"/>
        <v>2700000000</v>
      </c>
      <c r="D13" s="505">
        <v>900000000</v>
      </c>
      <c r="E13" s="505">
        <v>900000000</v>
      </c>
      <c r="F13" s="505">
        <v>900000000</v>
      </c>
      <c r="G13" s="311" t="s">
        <v>917</v>
      </c>
    </row>
    <row r="14" spans="1:11" x14ac:dyDescent="0.25">
      <c r="A14" s="497">
        <v>2</v>
      </c>
      <c r="B14" s="498" t="s">
        <v>918</v>
      </c>
      <c r="C14" s="499">
        <f>C15+C20+C24+C26</f>
        <v>5856200000</v>
      </c>
      <c r="D14" s="499">
        <f>D15+D20+D24+D26</f>
        <v>1750200000</v>
      </c>
      <c r="E14" s="499">
        <f>E15+E20+E24+E26</f>
        <v>2053000000</v>
      </c>
      <c r="F14" s="499">
        <f>F15+F20+F24+F26</f>
        <v>2053000000</v>
      </c>
      <c r="G14" s="506"/>
    </row>
    <row r="15" spans="1:11" x14ac:dyDescent="0.25">
      <c r="A15" s="502">
        <v>2.1</v>
      </c>
      <c r="B15" s="503" t="s">
        <v>919</v>
      </c>
      <c r="C15" s="504">
        <f t="shared" si="3"/>
        <v>1680000000</v>
      </c>
      <c r="D15" s="504">
        <f>SUM(D16:D19)</f>
        <v>560000000</v>
      </c>
      <c r="E15" s="504">
        <f>SUM(E16:E19)</f>
        <v>560000000</v>
      </c>
      <c r="F15" s="504">
        <f>SUM(F16:F19)</f>
        <v>560000000</v>
      </c>
      <c r="G15" s="504">
        <f>SUM(G16:G18)</f>
        <v>0</v>
      </c>
    </row>
    <row r="16" spans="1:11" ht="45" x14ac:dyDescent="0.25">
      <c r="A16" s="502"/>
      <c r="B16" s="503" t="s">
        <v>920</v>
      </c>
      <c r="C16" s="507">
        <f t="shared" ref="C16:C23" si="4">D16+E16+F16</f>
        <v>300000000</v>
      </c>
      <c r="D16" s="505">
        <v>100000000</v>
      </c>
      <c r="E16" s="505">
        <v>100000000</v>
      </c>
      <c r="F16" s="505">
        <v>100000000</v>
      </c>
      <c r="G16" s="311" t="s">
        <v>921</v>
      </c>
    </row>
    <row r="17" spans="1:7" ht="60" x14ac:dyDescent="0.25">
      <c r="A17" s="502"/>
      <c r="B17" s="503" t="s">
        <v>922</v>
      </c>
      <c r="C17" s="507">
        <f t="shared" si="4"/>
        <v>600000000</v>
      </c>
      <c r="D17" s="505">
        <v>200000000</v>
      </c>
      <c r="E17" s="505">
        <v>200000000</v>
      </c>
      <c r="F17" s="505">
        <v>200000000</v>
      </c>
      <c r="G17" s="311" t="s">
        <v>923</v>
      </c>
    </row>
    <row r="18" spans="1:7" ht="60" x14ac:dyDescent="0.25">
      <c r="A18" s="502"/>
      <c r="B18" s="503" t="s">
        <v>924</v>
      </c>
      <c r="C18" s="507">
        <f t="shared" si="4"/>
        <v>180000000</v>
      </c>
      <c r="D18" s="505">
        <v>60000000</v>
      </c>
      <c r="E18" s="505">
        <v>60000000</v>
      </c>
      <c r="F18" s="505">
        <v>60000000</v>
      </c>
      <c r="G18" s="311" t="s">
        <v>925</v>
      </c>
    </row>
    <row r="19" spans="1:7" ht="45" x14ac:dyDescent="0.25">
      <c r="A19" s="502"/>
      <c r="B19" s="503" t="s">
        <v>926</v>
      </c>
      <c r="C19" s="507">
        <f>D19+E19+F19</f>
        <v>600000000</v>
      </c>
      <c r="D19" s="505">
        <v>200000000</v>
      </c>
      <c r="E19" s="505">
        <v>200000000</v>
      </c>
      <c r="F19" s="505">
        <v>200000000</v>
      </c>
      <c r="G19" s="311" t="s">
        <v>927</v>
      </c>
    </row>
    <row r="20" spans="1:7" ht="33.75" customHeight="1" x14ac:dyDescent="0.25">
      <c r="A20" s="502" t="s">
        <v>555</v>
      </c>
      <c r="B20" s="503" t="s">
        <v>928</v>
      </c>
      <c r="C20" s="507">
        <f t="shared" si="4"/>
        <v>1479000000</v>
      </c>
      <c r="D20" s="505">
        <f t="shared" ref="D20:F20" si="5">SUM(D21:D23)</f>
        <v>493000000</v>
      </c>
      <c r="E20" s="505">
        <f t="shared" si="5"/>
        <v>493000000</v>
      </c>
      <c r="F20" s="505">
        <f t="shared" si="5"/>
        <v>493000000</v>
      </c>
      <c r="G20" s="311"/>
    </row>
    <row r="21" spans="1:7" ht="30" x14ac:dyDescent="0.25">
      <c r="A21" s="502"/>
      <c r="B21" s="503" t="s">
        <v>929</v>
      </c>
      <c r="C21" s="507">
        <f t="shared" si="4"/>
        <v>294000000</v>
      </c>
      <c r="D21" s="505">
        <v>98000000</v>
      </c>
      <c r="E21" s="505">
        <v>98000000</v>
      </c>
      <c r="F21" s="505">
        <v>98000000</v>
      </c>
      <c r="G21" s="311" t="s">
        <v>930</v>
      </c>
    </row>
    <row r="22" spans="1:7" ht="45" x14ac:dyDescent="0.25">
      <c r="A22" s="502"/>
      <c r="B22" s="503" t="s">
        <v>931</v>
      </c>
      <c r="C22" s="507">
        <f t="shared" si="4"/>
        <v>285000000</v>
      </c>
      <c r="D22" s="505">
        <v>95000000</v>
      </c>
      <c r="E22" s="505">
        <v>95000000</v>
      </c>
      <c r="F22" s="505">
        <v>95000000</v>
      </c>
      <c r="G22" s="311" t="s">
        <v>930</v>
      </c>
    </row>
    <row r="23" spans="1:7" ht="30" x14ac:dyDescent="0.25">
      <c r="A23" s="502"/>
      <c r="B23" s="503" t="s">
        <v>932</v>
      </c>
      <c r="C23" s="507">
        <f t="shared" si="4"/>
        <v>900000000</v>
      </c>
      <c r="D23" s="505">
        <v>300000000</v>
      </c>
      <c r="E23" s="505">
        <v>300000000</v>
      </c>
      <c r="F23" s="505">
        <v>300000000</v>
      </c>
      <c r="G23" s="311" t="s">
        <v>933</v>
      </c>
    </row>
    <row r="24" spans="1:7" x14ac:dyDescent="0.25">
      <c r="A24" s="497" t="s">
        <v>559</v>
      </c>
      <c r="B24" s="498" t="s">
        <v>231</v>
      </c>
      <c r="C24" s="508">
        <f>+D24+E24+F24</f>
        <v>2300000000</v>
      </c>
      <c r="D24" s="499">
        <f>SUM(D25:D25)</f>
        <v>300000000</v>
      </c>
      <c r="E24" s="499">
        <f>SUM(E25:E25)</f>
        <v>1000000000</v>
      </c>
      <c r="F24" s="499">
        <f>SUM(F25:F25)</f>
        <v>1000000000</v>
      </c>
      <c r="G24" s="509"/>
    </row>
    <row r="25" spans="1:7" ht="75" x14ac:dyDescent="0.25">
      <c r="A25" s="502"/>
      <c r="B25" s="503" t="s">
        <v>934</v>
      </c>
      <c r="C25" s="507">
        <f t="shared" ref="C25" si="6">D25+E25+F25</f>
        <v>2300000000</v>
      </c>
      <c r="D25" s="505">
        <v>300000000</v>
      </c>
      <c r="E25" s="505">
        <v>1000000000</v>
      </c>
      <c r="F25" s="505">
        <v>1000000000</v>
      </c>
      <c r="G25" s="311" t="s">
        <v>935</v>
      </c>
    </row>
    <row r="26" spans="1:7" x14ac:dyDescent="0.25">
      <c r="A26" s="497" t="s">
        <v>559</v>
      </c>
      <c r="B26" s="498" t="s">
        <v>936</v>
      </c>
      <c r="C26" s="508">
        <f t="shared" ref="C26:C43" si="7">+D26+E26+F26</f>
        <v>397200000</v>
      </c>
      <c r="D26" s="499">
        <f>SUM(D27:D43)</f>
        <v>397200000</v>
      </c>
      <c r="E26" s="499">
        <f>SUM(E27:E42)</f>
        <v>0</v>
      </c>
      <c r="F26" s="499">
        <f>SUM(F27:F42)</f>
        <v>0</v>
      </c>
      <c r="G26" s="509"/>
    </row>
    <row r="27" spans="1:7" x14ac:dyDescent="0.25">
      <c r="A27" s="502"/>
      <c r="B27" s="510" t="s">
        <v>937</v>
      </c>
      <c r="C27" s="507">
        <f t="shared" si="7"/>
        <v>15000000</v>
      </c>
      <c r="D27" s="511">
        <v>15000000</v>
      </c>
      <c r="E27" s="511"/>
      <c r="F27" s="511"/>
      <c r="G27" s="510"/>
    </row>
    <row r="28" spans="1:7" x14ac:dyDescent="0.25">
      <c r="A28" s="502"/>
      <c r="B28" s="510" t="s">
        <v>938</v>
      </c>
      <c r="C28" s="507">
        <f t="shared" si="7"/>
        <v>5000000</v>
      </c>
      <c r="D28" s="511">
        <v>5000000</v>
      </c>
      <c r="E28" s="511"/>
      <c r="F28" s="511"/>
      <c r="G28" s="512"/>
    </row>
    <row r="29" spans="1:7" x14ac:dyDescent="0.25">
      <c r="A29" s="502"/>
      <c r="B29" s="510" t="s">
        <v>939</v>
      </c>
      <c r="C29" s="507">
        <f t="shared" si="7"/>
        <v>3500000</v>
      </c>
      <c r="D29" s="511">
        <v>3500000</v>
      </c>
      <c r="E29" s="511"/>
      <c r="F29" s="511"/>
      <c r="G29" s="510"/>
    </row>
    <row r="30" spans="1:7" x14ac:dyDescent="0.25">
      <c r="A30" s="502"/>
      <c r="B30" s="510" t="s">
        <v>940</v>
      </c>
      <c r="C30" s="507">
        <f t="shared" si="7"/>
        <v>300000</v>
      </c>
      <c r="D30" s="511">
        <v>300000</v>
      </c>
      <c r="E30" s="511"/>
      <c r="F30" s="511"/>
      <c r="G30" s="510"/>
    </row>
    <row r="31" spans="1:7" x14ac:dyDescent="0.25">
      <c r="A31" s="502"/>
      <c r="B31" s="510" t="s">
        <v>941</v>
      </c>
      <c r="C31" s="507">
        <f t="shared" si="7"/>
        <v>100000</v>
      </c>
      <c r="D31" s="511">
        <v>100000</v>
      </c>
      <c r="E31" s="511"/>
      <c r="F31" s="511"/>
      <c r="G31" s="510"/>
    </row>
    <row r="32" spans="1:7" x14ac:dyDescent="0.25">
      <c r="A32" s="502"/>
      <c r="B32" s="510" t="s">
        <v>942</v>
      </c>
      <c r="C32" s="507">
        <f t="shared" si="7"/>
        <v>300000</v>
      </c>
      <c r="D32" s="511">
        <v>300000</v>
      </c>
      <c r="E32" s="511"/>
      <c r="F32" s="511"/>
      <c r="G32" s="510"/>
    </row>
    <row r="33" spans="1:7" ht="30" x14ac:dyDescent="0.25">
      <c r="A33" s="502"/>
      <c r="B33" s="513" t="s">
        <v>943</v>
      </c>
      <c r="C33" s="507">
        <f t="shared" si="7"/>
        <v>30000000</v>
      </c>
      <c r="D33" s="514">
        <v>30000000</v>
      </c>
      <c r="E33" s="514"/>
      <c r="F33" s="514"/>
      <c r="G33" s="793" t="s">
        <v>944</v>
      </c>
    </row>
    <row r="34" spans="1:7" ht="30" x14ac:dyDescent="0.25">
      <c r="A34" s="502"/>
      <c r="B34" s="513" t="s">
        <v>945</v>
      </c>
      <c r="C34" s="507">
        <f t="shared" si="7"/>
        <v>20000000</v>
      </c>
      <c r="D34" s="514">
        <v>20000000</v>
      </c>
      <c r="E34" s="514"/>
      <c r="F34" s="514"/>
      <c r="G34" s="794"/>
    </row>
    <row r="35" spans="1:7" ht="30" x14ac:dyDescent="0.25">
      <c r="A35" s="502"/>
      <c r="B35" s="513" t="s">
        <v>946</v>
      </c>
      <c r="C35" s="507">
        <f t="shared" si="7"/>
        <v>25000000</v>
      </c>
      <c r="D35" s="514">
        <v>25000000</v>
      </c>
      <c r="E35" s="514"/>
      <c r="F35" s="514"/>
      <c r="G35" s="794"/>
    </row>
    <row r="36" spans="1:7" ht="30" x14ac:dyDescent="0.25">
      <c r="A36" s="502"/>
      <c r="B36" s="515" t="s">
        <v>947</v>
      </c>
      <c r="C36" s="507">
        <f t="shared" si="7"/>
        <v>20000000</v>
      </c>
      <c r="D36" s="514">
        <v>20000000</v>
      </c>
      <c r="E36" s="514"/>
      <c r="F36" s="514"/>
      <c r="G36" s="794"/>
    </row>
    <row r="37" spans="1:7" ht="30" x14ac:dyDescent="0.25">
      <c r="A37" s="502"/>
      <c r="B37" s="513" t="s">
        <v>948</v>
      </c>
      <c r="C37" s="507">
        <f t="shared" si="7"/>
        <v>25000000</v>
      </c>
      <c r="D37" s="514">
        <v>25000000</v>
      </c>
      <c r="E37" s="514"/>
      <c r="F37" s="514"/>
      <c r="G37" s="794"/>
    </row>
    <row r="38" spans="1:7" ht="30" x14ac:dyDescent="0.25">
      <c r="A38" s="502"/>
      <c r="B38" s="513" t="s">
        <v>949</v>
      </c>
      <c r="C38" s="507">
        <f t="shared" si="7"/>
        <v>15000000</v>
      </c>
      <c r="D38" s="514">
        <v>15000000</v>
      </c>
      <c r="E38" s="514"/>
      <c r="F38" s="514"/>
      <c r="G38" s="794"/>
    </row>
    <row r="39" spans="1:7" ht="30" x14ac:dyDescent="0.25">
      <c r="A39" s="502"/>
      <c r="B39" s="513" t="s">
        <v>950</v>
      </c>
      <c r="C39" s="507">
        <f t="shared" si="7"/>
        <v>15000000</v>
      </c>
      <c r="D39" s="514">
        <v>15000000</v>
      </c>
      <c r="E39" s="514"/>
      <c r="F39" s="514"/>
      <c r="G39" s="794"/>
    </row>
    <row r="40" spans="1:7" x14ac:dyDescent="0.25">
      <c r="A40" s="502"/>
      <c r="B40" s="516" t="s">
        <v>951</v>
      </c>
      <c r="C40" s="507">
        <f t="shared" si="7"/>
        <v>3000000</v>
      </c>
      <c r="D40" s="511">
        <v>3000000</v>
      </c>
      <c r="E40" s="505"/>
      <c r="F40" s="505"/>
      <c r="G40" s="517"/>
    </row>
    <row r="41" spans="1:7" ht="30" x14ac:dyDescent="0.25">
      <c r="A41" s="502"/>
      <c r="B41" s="516" t="s">
        <v>952</v>
      </c>
      <c r="C41" s="507">
        <f t="shared" si="7"/>
        <v>90000000</v>
      </c>
      <c r="D41" s="511">
        <v>90000000</v>
      </c>
      <c r="E41" s="505"/>
      <c r="F41" s="505"/>
      <c r="G41" s="311"/>
    </row>
    <row r="42" spans="1:7" x14ac:dyDescent="0.25">
      <c r="A42" s="502"/>
      <c r="B42" s="516" t="s">
        <v>953</v>
      </c>
      <c r="C42" s="507">
        <f t="shared" si="7"/>
        <v>5000000</v>
      </c>
      <c r="D42" s="511">
        <v>5000000</v>
      </c>
      <c r="E42" s="505"/>
      <c r="F42" s="505"/>
      <c r="G42" s="311"/>
    </row>
    <row r="43" spans="1:7" ht="30" x14ac:dyDescent="0.25">
      <c r="A43" s="502"/>
      <c r="B43" s="516" t="s">
        <v>954</v>
      </c>
      <c r="C43" s="507">
        <f t="shared" si="7"/>
        <v>125000000</v>
      </c>
      <c r="D43" s="511">
        <v>125000000</v>
      </c>
      <c r="E43" s="505"/>
      <c r="F43" s="505"/>
      <c r="G43" s="311"/>
    </row>
    <row r="44" spans="1:7" x14ac:dyDescent="0.25">
      <c r="A44" s="518"/>
      <c r="B44" s="488"/>
      <c r="C44" s="518"/>
      <c r="D44" s="519"/>
      <c r="E44" s="519"/>
      <c r="F44" s="519"/>
      <c r="G44" s="520"/>
    </row>
    <row r="45" spans="1:7" x14ac:dyDescent="0.25">
      <c r="A45" s="486"/>
      <c r="C45" s="486"/>
      <c r="D45" s="521"/>
      <c r="E45" s="521"/>
      <c r="F45" s="521"/>
      <c r="G45" s="489"/>
    </row>
    <row r="46" spans="1:7" x14ac:dyDescent="0.25">
      <c r="A46" s="518"/>
      <c r="B46" s="488"/>
      <c r="C46" s="518"/>
      <c r="D46" s="519"/>
      <c r="E46" s="519"/>
      <c r="F46" s="519"/>
      <c r="G46" s="488"/>
    </row>
    <row r="47" spans="1:7" x14ac:dyDescent="0.25">
      <c r="A47" s="518"/>
      <c r="B47" s="488"/>
      <c r="C47" s="518"/>
      <c r="D47" s="519"/>
      <c r="E47" s="519"/>
      <c r="F47" s="519"/>
      <c r="G47" s="488"/>
    </row>
    <row r="48" spans="1:7" x14ac:dyDescent="0.25">
      <c r="A48" s="518"/>
      <c r="B48" s="488"/>
      <c r="C48" s="518"/>
      <c r="D48" s="519"/>
      <c r="E48" s="519"/>
      <c r="F48" s="519"/>
      <c r="G48" s="488"/>
    </row>
    <row r="49" spans="1:7" x14ac:dyDescent="0.25">
      <c r="A49" s="518"/>
      <c r="B49" s="488"/>
      <c r="C49" s="518"/>
      <c r="D49" s="519"/>
      <c r="E49" s="519"/>
      <c r="F49" s="519"/>
      <c r="G49" s="488"/>
    </row>
    <row r="50" spans="1:7" x14ac:dyDescent="0.25">
      <c r="A50" s="486"/>
      <c r="B50" s="522"/>
      <c r="C50" s="486"/>
      <c r="D50" s="521"/>
      <c r="E50" s="521"/>
      <c r="F50" s="521"/>
      <c r="G50" s="522"/>
    </row>
    <row r="51" spans="1:7" x14ac:dyDescent="0.25">
      <c r="A51" s="518"/>
      <c r="B51" s="488"/>
      <c r="C51" s="518"/>
      <c r="D51" s="519"/>
      <c r="E51" s="519"/>
      <c r="F51" s="519"/>
      <c r="G51" s="488"/>
    </row>
  </sheetData>
  <mergeCells count="12">
    <mergeCell ref="G6:G7"/>
    <mergeCell ref="G33:G39"/>
    <mergeCell ref="A1:B1"/>
    <mergeCell ref="F1:G1"/>
    <mergeCell ref="A2:B2"/>
    <mergeCell ref="A3:G3"/>
    <mergeCell ref="A6:A7"/>
    <mergeCell ref="B6:B7"/>
    <mergeCell ref="C6:C7"/>
    <mergeCell ref="D6:D7"/>
    <mergeCell ref="E6:E7"/>
    <mergeCell ref="F6:F7"/>
  </mergeCells>
  <pageMargins left="0.25" right="0.25" top="0.38" bottom="0.2" header="0.3" footer="0.3"/>
  <pageSetup paperSize="9" scale="85"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3" zoomScale="80" zoomScaleNormal="80" workbookViewId="0">
      <selection activeCell="H19" sqref="H19"/>
    </sheetView>
  </sheetViews>
  <sheetFormatPr defaultRowHeight="18.75" x14ac:dyDescent="0.3"/>
  <cols>
    <col min="1" max="1" width="4.8984375" customWidth="1"/>
    <col min="2" max="2" width="44.5" customWidth="1"/>
    <col min="3" max="3" width="11.3984375" customWidth="1"/>
    <col min="4" max="4" width="11.69921875" customWidth="1"/>
    <col min="5" max="5" width="11.59765625" customWidth="1"/>
    <col min="6" max="6" width="10.8984375" customWidth="1"/>
  </cols>
  <sheetData>
    <row r="1" spans="1:6" x14ac:dyDescent="0.3">
      <c r="B1" s="806" t="s">
        <v>1151</v>
      </c>
      <c r="C1" s="806"/>
      <c r="D1" s="806"/>
      <c r="E1" s="806"/>
      <c r="F1" s="523" t="s">
        <v>965</v>
      </c>
    </row>
    <row r="2" spans="1:6" ht="27" customHeight="1" x14ac:dyDescent="0.3">
      <c r="A2" s="524" t="s">
        <v>609</v>
      </c>
      <c r="F2" s="523"/>
    </row>
    <row r="3" spans="1:6" ht="51" customHeight="1" x14ac:dyDescent="0.3">
      <c r="A3" s="147" t="s">
        <v>344</v>
      </c>
      <c r="B3" s="147" t="s">
        <v>956</v>
      </c>
      <c r="C3" s="147" t="s">
        <v>536</v>
      </c>
      <c r="D3" s="147" t="s">
        <v>957</v>
      </c>
      <c r="E3" s="147" t="s">
        <v>958</v>
      </c>
      <c r="F3" s="147" t="s">
        <v>959</v>
      </c>
    </row>
    <row r="4" spans="1:6" ht="42" customHeight="1" x14ac:dyDescent="0.3">
      <c r="A4" s="75">
        <v>1</v>
      </c>
      <c r="B4" s="525" t="s">
        <v>960</v>
      </c>
      <c r="C4" s="526">
        <f>+'[8]bieu 2'!H7</f>
        <v>69186960</v>
      </c>
      <c r="D4" s="526">
        <f>+C4*0.21</f>
        <v>14529261.6</v>
      </c>
      <c r="E4" s="526">
        <f>+C4-D4</f>
        <v>54657698.399999999</v>
      </c>
      <c r="F4" s="526">
        <f>SUM(D4:E4)</f>
        <v>69186960</v>
      </c>
    </row>
    <row r="5" spans="1:6" ht="45.75" customHeight="1" x14ac:dyDescent="0.3">
      <c r="A5" s="75">
        <v>2</v>
      </c>
      <c r="B5" s="525" t="s">
        <v>961</v>
      </c>
      <c r="C5" s="526">
        <f>+'[8]bieu 2'!H15</f>
        <v>150135300</v>
      </c>
      <c r="D5" s="526">
        <f>+C5*0.21</f>
        <v>31528413</v>
      </c>
      <c r="E5" s="526">
        <f>+C5-D5</f>
        <v>118606887</v>
      </c>
      <c r="F5" s="526">
        <f t="shared" ref="F5:F7" si="0">SUM(D5:E5)</f>
        <v>150135300</v>
      </c>
    </row>
    <row r="6" spans="1:6" ht="45.75" customHeight="1" x14ac:dyDescent="0.3">
      <c r="A6" s="75">
        <v>3</v>
      </c>
      <c r="B6" s="525" t="s">
        <v>962</v>
      </c>
      <c r="C6" s="526">
        <f>+'[8]bieu 2'!H19</f>
        <v>39801900</v>
      </c>
      <c r="D6" s="526">
        <f>+C6*0.21</f>
        <v>8358399</v>
      </c>
      <c r="E6" s="526">
        <f>+C6-D6</f>
        <v>31443501</v>
      </c>
      <c r="F6" s="526">
        <f t="shared" si="0"/>
        <v>39801900</v>
      </c>
    </row>
    <row r="7" spans="1:6" ht="45.75" customHeight="1" x14ac:dyDescent="0.3">
      <c r="A7" s="75">
        <v>4</v>
      </c>
      <c r="B7" s="525" t="s">
        <v>963</v>
      </c>
      <c r="C7" s="526">
        <f>+'[8]bieu 2'!H23</f>
        <v>875950</v>
      </c>
      <c r="D7" s="526">
        <f>+C7*0.21</f>
        <v>183949.5</v>
      </c>
      <c r="E7" s="526">
        <f>+C7-D7</f>
        <v>692000.5</v>
      </c>
      <c r="F7" s="526">
        <f t="shared" si="0"/>
        <v>875950</v>
      </c>
    </row>
    <row r="8" spans="1:6" ht="42" customHeight="1" x14ac:dyDescent="0.3">
      <c r="A8" s="75"/>
      <c r="B8" s="147" t="s">
        <v>347</v>
      </c>
      <c r="C8" s="527">
        <f>SUM(C4:C7)</f>
        <v>260000110</v>
      </c>
      <c r="D8" s="527">
        <f>SUM(D4:D7)</f>
        <v>54600023.100000001</v>
      </c>
      <c r="E8" s="527">
        <f>SUM(E4:E7)</f>
        <v>205400086.90000001</v>
      </c>
      <c r="F8" s="527">
        <f>SUM(F4:F7)</f>
        <v>260000110</v>
      </c>
    </row>
    <row r="9" spans="1:6" ht="34.5" customHeight="1" x14ac:dyDescent="0.3"/>
    <row r="10" spans="1:6" ht="32.25" hidden="1" customHeight="1" x14ac:dyDescent="0.3"/>
    <row r="11" spans="1:6" ht="28.5" hidden="1" customHeight="1" x14ac:dyDescent="0.3"/>
    <row r="12" spans="1:6" ht="30.75" hidden="1" customHeight="1" x14ac:dyDescent="0.3"/>
    <row r="13" spans="1:6" ht="30.75" customHeight="1" x14ac:dyDescent="0.3"/>
    <row r="14" spans="1:6" ht="68.25" customHeight="1" x14ac:dyDescent="0.3"/>
    <row r="15" spans="1:6" x14ac:dyDescent="0.3">
      <c r="F15" s="523"/>
    </row>
    <row r="16" spans="1:6" ht="20.25" customHeight="1" x14ac:dyDescent="0.3">
      <c r="A16" s="524" t="s">
        <v>964</v>
      </c>
    </row>
    <row r="17" spans="1:6" ht="20.25" customHeight="1" x14ac:dyDescent="0.3">
      <c r="A17" s="524"/>
      <c r="B17" s="806" t="s">
        <v>1151</v>
      </c>
      <c r="C17" s="806"/>
      <c r="D17" s="806"/>
      <c r="E17" s="806"/>
    </row>
    <row r="18" spans="1:6" ht="28.5" x14ac:dyDescent="0.3">
      <c r="A18" s="147" t="s">
        <v>344</v>
      </c>
      <c r="B18" s="147" t="s">
        <v>956</v>
      </c>
      <c r="C18" s="147" t="s">
        <v>536</v>
      </c>
      <c r="D18" s="147" t="s">
        <v>957</v>
      </c>
      <c r="E18" s="147" t="s">
        <v>958</v>
      </c>
      <c r="F18" s="147" t="s">
        <v>959</v>
      </c>
    </row>
    <row r="19" spans="1:6" ht="42" customHeight="1" x14ac:dyDescent="0.3">
      <c r="A19" s="75">
        <v>1</v>
      </c>
      <c r="B19" s="525" t="s">
        <v>960</v>
      </c>
      <c r="C19" s="526">
        <f>+'[8]bieu 2'!I7</f>
        <v>78920280</v>
      </c>
      <c r="D19" s="526">
        <f>+C19*0.21</f>
        <v>16573258.799999999</v>
      </c>
      <c r="E19" s="526">
        <f>+C19-D19</f>
        <v>62347021.200000003</v>
      </c>
      <c r="F19" s="526">
        <f>SUM(D19:E19)</f>
        <v>78920280</v>
      </c>
    </row>
    <row r="20" spans="1:6" ht="42" customHeight="1" x14ac:dyDescent="0.3">
      <c r="A20" s="75">
        <v>2</v>
      </c>
      <c r="B20" s="525" t="s">
        <v>561</v>
      </c>
      <c r="C20" s="526">
        <f>+'[8]bieu 2'!I11</f>
        <v>99900</v>
      </c>
      <c r="D20" s="526">
        <f>+C20*0.21</f>
        <v>20979</v>
      </c>
      <c r="E20" s="526">
        <f>+C20-D20</f>
        <v>78921</v>
      </c>
      <c r="F20" s="526">
        <f>SUM(D20:E20)</f>
        <v>99900</v>
      </c>
    </row>
    <row r="21" spans="1:6" ht="45.75" customHeight="1" x14ac:dyDescent="0.3">
      <c r="A21" s="75">
        <v>3</v>
      </c>
      <c r="B21" s="525" t="s">
        <v>961</v>
      </c>
      <c r="C21" s="526">
        <f>+'[8]bieu 2'!I15</f>
        <v>175532400</v>
      </c>
      <c r="D21" s="526">
        <f>+C21*0.21</f>
        <v>36861804</v>
      </c>
      <c r="E21" s="526">
        <f>+C21-D21</f>
        <v>138670596</v>
      </c>
      <c r="F21" s="526">
        <f t="shared" ref="F21:F23" si="1">SUM(D21:E21)</f>
        <v>175532400</v>
      </c>
    </row>
    <row r="22" spans="1:6" ht="45.75" customHeight="1" x14ac:dyDescent="0.3">
      <c r="A22" s="75">
        <v>4</v>
      </c>
      <c r="B22" s="525" t="s">
        <v>962</v>
      </c>
      <c r="C22" s="526">
        <f>+'[8]bieu 2'!I19</f>
        <v>44838920</v>
      </c>
      <c r="D22" s="526">
        <f>+C22*0.21</f>
        <v>9416173.1999999993</v>
      </c>
      <c r="E22" s="526">
        <f>+C22-D22</f>
        <v>35422746.799999997</v>
      </c>
      <c r="F22" s="526">
        <f t="shared" si="1"/>
        <v>44838920</v>
      </c>
    </row>
    <row r="23" spans="1:6" ht="45.75" customHeight="1" x14ac:dyDescent="0.3">
      <c r="A23" s="75">
        <v>5</v>
      </c>
      <c r="B23" s="525" t="s">
        <v>963</v>
      </c>
      <c r="C23" s="526">
        <f>+'[8]bieu 2'!I23</f>
        <v>608500</v>
      </c>
      <c r="D23" s="526">
        <f>+C23*0.21</f>
        <v>127785</v>
      </c>
      <c r="E23" s="526">
        <f>+C23-D23</f>
        <v>480715</v>
      </c>
      <c r="F23" s="526">
        <f t="shared" si="1"/>
        <v>608500</v>
      </c>
    </row>
    <row r="24" spans="1:6" ht="42" customHeight="1" x14ac:dyDescent="0.3">
      <c r="A24" s="75"/>
      <c r="B24" s="147" t="s">
        <v>347</v>
      </c>
      <c r="C24" s="527">
        <f>SUM(C19:C23)</f>
        <v>300000000</v>
      </c>
      <c r="D24" s="527">
        <f t="shared" ref="D24:F24" si="2">SUM(D19:D23)</f>
        <v>63000000</v>
      </c>
      <c r="E24" s="527">
        <f t="shared" si="2"/>
        <v>237000000</v>
      </c>
      <c r="F24" s="527">
        <f t="shared" si="2"/>
        <v>300000000</v>
      </c>
    </row>
  </sheetData>
  <mergeCells count="2">
    <mergeCell ref="B1:E1"/>
    <mergeCell ref="B17:E17"/>
  </mergeCells>
  <pageMargins left="0.7" right="0.45" top="0.75" bottom="0.75" header="0.3" footer="0.3"/>
  <pageSetup paperSize="9" scale="105"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
  <sheetViews>
    <sheetView workbookViewId="0">
      <selection activeCell="F10" sqref="F10"/>
    </sheetView>
  </sheetViews>
  <sheetFormatPr defaultColWidth="8.69921875" defaultRowHeight="15" x14ac:dyDescent="0.25"/>
  <cols>
    <col min="1" max="1" width="5.59765625" style="485" customWidth="1"/>
    <col min="2" max="4" width="13.3984375" style="485" customWidth="1"/>
    <col min="5" max="5" width="12.3984375" style="485" customWidth="1"/>
    <col min="6" max="7" width="11.5" style="485" customWidth="1"/>
    <col min="8" max="8" width="10.09765625" style="485" customWidth="1"/>
    <col min="9" max="9" width="11.5" style="485" customWidth="1"/>
    <col min="10" max="10" width="5.59765625" style="485" customWidth="1"/>
    <col min="11" max="16384" width="8.69921875" style="485"/>
  </cols>
  <sheetData>
    <row r="2" spans="1:10" x14ac:dyDescent="0.25">
      <c r="A2" s="809" t="s">
        <v>974</v>
      </c>
      <c r="B2" s="809"/>
      <c r="C2" s="809"/>
      <c r="D2" s="809"/>
      <c r="E2" s="809"/>
      <c r="F2" s="809"/>
      <c r="G2" s="809"/>
      <c r="H2" s="809"/>
      <c r="I2" s="809"/>
      <c r="J2" s="809"/>
    </row>
    <row r="4" spans="1:10" ht="15.75" x14ac:dyDescent="0.25">
      <c r="A4" s="810" t="s">
        <v>6</v>
      </c>
      <c r="B4" s="810" t="s">
        <v>509</v>
      </c>
      <c r="C4" s="810" t="s">
        <v>510</v>
      </c>
      <c r="D4" s="810"/>
      <c r="E4" s="810" t="s">
        <v>511</v>
      </c>
      <c r="F4" s="810"/>
      <c r="G4" s="810"/>
      <c r="H4" s="810"/>
      <c r="I4" s="811" t="s">
        <v>512</v>
      </c>
      <c r="J4" s="810" t="s">
        <v>24</v>
      </c>
    </row>
    <row r="5" spans="1:10" ht="68.25" customHeight="1" x14ac:dyDescent="0.25">
      <c r="A5" s="810"/>
      <c r="B5" s="810"/>
      <c r="C5" s="528" t="s">
        <v>514</v>
      </c>
      <c r="D5" s="529" t="s">
        <v>513</v>
      </c>
      <c r="E5" s="529">
        <v>2021</v>
      </c>
      <c r="F5" s="529">
        <v>2022</v>
      </c>
      <c r="G5" s="529">
        <v>2023</v>
      </c>
      <c r="H5" s="529">
        <v>2024</v>
      </c>
      <c r="I5" s="811"/>
      <c r="J5" s="810"/>
    </row>
    <row r="6" spans="1:10" ht="26.25" customHeight="1" x14ac:dyDescent="0.25">
      <c r="A6" s="530">
        <v>1</v>
      </c>
      <c r="B6" s="531" t="s">
        <v>966</v>
      </c>
      <c r="C6" s="532">
        <v>5000</v>
      </c>
      <c r="D6" s="532">
        <v>5000</v>
      </c>
      <c r="E6" s="533">
        <v>265000000</v>
      </c>
      <c r="F6" s="533">
        <v>250000000</v>
      </c>
      <c r="G6" s="533">
        <v>50375000</v>
      </c>
      <c r="H6" s="533">
        <v>157065000</v>
      </c>
      <c r="I6" s="534">
        <v>100000000</v>
      </c>
      <c r="J6" s="535"/>
    </row>
    <row r="7" spans="1:10" ht="47.25" x14ac:dyDescent="0.25">
      <c r="A7" s="530">
        <v>2</v>
      </c>
      <c r="B7" s="531" t="s">
        <v>967</v>
      </c>
      <c r="C7" s="807" t="s">
        <v>968</v>
      </c>
      <c r="D7" s="807"/>
      <c r="E7" s="533">
        <v>165250000</v>
      </c>
      <c r="F7" s="533">
        <v>178500000</v>
      </c>
      <c r="G7" s="533">
        <v>145838000</v>
      </c>
      <c r="H7" s="533">
        <v>81419000</v>
      </c>
      <c r="I7" s="534">
        <v>110250000</v>
      </c>
      <c r="J7" s="535"/>
    </row>
    <row r="8" spans="1:10" ht="31.5" x14ac:dyDescent="0.25">
      <c r="A8" s="530">
        <v>3</v>
      </c>
      <c r="B8" s="531" t="s">
        <v>969</v>
      </c>
      <c r="C8" s="532">
        <v>20000</v>
      </c>
      <c r="D8" s="532">
        <v>10000</v>
      </c>
      <c r="E8" s="533">
        <v>495000000</v>
      </c>
      <c r="F8" s="533">
        <v>560000000</v>
      </c>
      <c r="G8" s="533">
        <v>579040000</v>
      </c>
      <c r="H8" s="533">
        <v>505300000</v>
      </c>
      <c r="I8" s="534">
        <v>355000000</v>
      </c>
      <c r="J8" s="535"/>
    </row>
    <row r="9" spans="1:10" ht="31.5" x14ac:dyDescent="0.25">
      <c r="A9" s="530">
        <v>4</v>
      </c>
      <c r="B9" s="531" t="s">
        <v>970</v>
      </c>
      <c r="C9" s="532">
        <v>100000</v>
      </c>
      <c r="D9" s="532">
        <v>50000</v>
      </c>
      <c r="E9" s="533">
        <v>340000000</v>
      </c>
      <c r="F9" s="533">
        <v>195000000</v>
      </c>
      <c r="G9" s="533">
        <v>202450000</v>
      </c>
      <c r="H9" s="533">
        <v>133650000</v>
      </c>
      <c r="I9" s="534">
        <v>133250000</v>
      </c>
      <c r="J9" s="535"/>
    </row>
    <row r="10" spans="1:10" ht="31.5" x14ac:dyDescent="0.25">
      <c r="A10" s="530">
        <v>5</v>
      </c>
      <c r="B10" s="531" t="s">
        <v>971</v>
      </c>
      <c r="C10" s="808" t="s">
        <v>972</v>
      </c>
      <c r="D10" s="808"/>
      <c r="E10" s="533">
        <v>40000000</v>
      </c>
      <c r="F10" s="533">
        <v>40000000</v>
      </c>
      <c r="G10" s="533">
        <v>40000000</v>
      </c>
      <c r="H10" s="533">
        <v>40000000</v>
      </c>
      <c r="I10" s="534">
        <v>10000000</v>
      </c>
      <c r="J10" s="535"/>
    </row>
    <row r="11" spans="1:10" ht="25.5" customHeight="1" x14ac:dyDescent="0.25">
      <c r="A11" s="535"/>
      <c r="B11" s="528" t="s">
        <v>520</v>
      </c>
      <c r="C11" s="535"/>
      <c r="D11" s="535"/>
      <c r="E11" s="536">
        <f>SUM(E6:E10)</f>
        <v>1305250000</v>
      </c>
      <c r="F11" s="536">
        <f t="shared" ref="F11:I11" si="0">SUM(F6:F10)</f>
        <v>1223500000</v>
      </c>
      <c r="G11" s="536">
        <f t="shared" si="0"/>
        <v>1017703000</v>
      </c>
      <c r="H11" s="536">
        <f t="shared" si="0"/>
        <v>917434000</v>
      </c>
      <c r="I11" s="536">
        <f t="shared" si="0"/>
        <v>708500000</v>
      </c>
      <c r="J11" s="537"/>
    </row>
  </sheetData>
  <mergeCells count="9">
    <mergeCell ref="C7:D7"/>
    <mergeCell ref="C10:D10"/>
    <mergeCell ref="A2:J2"/>
    <mergeCell ref="A4:A5"/>
    <mergeCell ref="B4:B5"/>
    <mergeCell ref="C4:D4"/>
    <mergeCell ref="E4:H4"/>
    <mergeCell ref="I4:I5"/>
    <mergeCell ref="J4:J5"/>
  </mergeCells>
  <pageMargins left="0.7" right="0.7" top="0.75" bottom="0.75" header="0.3" footer="0.3"/>
  <pageSetup paperSize="9" scale="95"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
  <sheetViews>
    <sheetView workbookViewId="0">
      <selection activeCell="J8" sqref="J8"/>
    </sheetView>
  </sheetViews>
  <sheetFormatPr defaultColWidth="8.69921875" defaultRowHeight="15" x14ac:dyDescent="0.25"/>
  <cols>
    <col min="1" max="1" width="4.19921875" style="485" customWidth="1"/>
    <col min="2" max="2" width="17" style="485" customWidth="1"/>
    <col min="3" max="7" width="11.796875" style="485" customWidth="1"/>
    <col min="8" max="16384" width="8.69921875" style="485"/>
  </cols>
  <sheetData>
    <row r="2" spans="1:9" s="538" customFormat="1" ht="36.75" customHeight="1" x14ac:dyDescent="0.25">
      <c r="A2" s="812" t="s">
        <v>975</v>
      </c>
      <c r="B2" s="812"/>
      <c r="C2" s="812"/>
      <c r="D2" s="812"/>
      <c r="E2" s="812"/>
      <c r="F2" s="812"/>
      <c r="G2" s="812"/>
      <c r="H2" s="812"/>
      <c r="I2" s="812"/>
    </row>
    <row r="3" spans="1:9" ht="18.75" x14ac:dyDescent="0.25">
      <c r="A3" s="539"/>
      <c r="H3" s="813" t="s">
        <v>20</v>
      </c>
      <c r="I3" s="813"/>
    </row>
    <row r="4" spans="1:9" ht="46.5" customHeight="1" x14ac:dyDescent="0.25">
      <c r="A4" s="810" t="s">
        <v>6</v>
      </c>
      <c r="B4" s="814" t="s">
        <v>352</v>
      </c>
      <c r="C4" s="810" t="s">
        <v>524</v>
      </c>
      <c r="D4" s="810"/>
      <c r="E4" s="810"/>
      <c r="F4" s="810"/>
      <c r="G4" s="528" t="s">
        <v>525</v>
      </c>
      <c r="H4" s="810" t="s">
        <v>991</v>
      </c>
      <c r="I4" s="810" t="s">
        <v>24</v>
      </c>
    </row>
    <row r="5" spans="1:9" ht="59.25" customHeight="1" x14ac:dyDescent="0.25">
      <c r="A5" s="810"/>
      <c r="B5" s="815"/>
      <c r="C5" s="530">
        <v>2021</v>
      </c>
      <c r="D5" s="530">
        <v>2022</v>
      </c>
      <c r="E5" s="530">
        <v>2023</v>
      </c>
      <c r="F5" s="530">
        <v>2024</v>
      </c>
      <c r="G5" s="528" t="s">
        <v>528</v>
      </c>
      <c r="H5" s="810"/>
      <c r="I5" s="810"/>
    </row>
    <row r="6" spans="1:9" ht="101.25" customHeight="1" x14ac:dyDescent="0.25">
      <c r="A6" s="530">
        <v>1</v>
      </c>
      <c r="B6" s="535" t="s">
        <v>973</v>
      </c>
      <c r="C6" s="540">
        <v>1305000000</v>
      </c>
      <c r="D6" s="540">
        <v>1223500000</v>
      </c>
      <c r="E6" s="533">
        <v>1017703000</v>
      </c>
      <c r="F6" s="533">
        <v>917434000</v>
      </c>
      <c r="G6" s="534">
        <v>708500000</v>
      </c>
      <c r="H6" s="541">
        <v>1</v>
      </c>
      <c r="I6" s="530"/>
    </row>
  </sheetData>
  <mergeCells count="7">
    <mergeCell ref="A2:I2"/>
    <mergeCell ref="H3:I3"/>
    <mergeCell ref="A4:A5"/>
    <mergeCell ref="B4:B5"/>
    <mergeCell ref="C4:F4"/>
    <mergeCell ref="H4:H5"/>
    <mergeCell ref="I4:I5"/>
  </mergeCells>
  <pageMargins left="0.7" right="0.2" top="0.75" bottom="0.75" header="0.3" footer="0.3"/>
  <pageSetup paperSize="9" scale="10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2"/>
  <sheetViews>
    <sheetView zoomScale="80" zoomScaleNormal="80" zoomScalePageLayoutView="80" workbookViewId="0">
      <selection activeCell="B209" sqref="B209"/>
    </sheetView>
  </sheetViews>
  <sheetFormatPr defaultColWidth="9.8984375" defaultRowHeight="16.5" x14ac:dyDescent="0.25"/>
  <cols>
    <col min="1" max="1" width="5.59765625" style="552" customWidth="1"/>
    <col min="2" max="2" width="37.69921875" style="553" customWidth="1"/>
    <col min="3" max="3" width="15.3984375" style="554" customWidth="1"/>
    <col min="4" max="5" width="15.3984375" style="555" customWidth="1"/>
    <col min="6" max="6" width="15.3984375" style="63" customWidth="1"/>
    <col min="7" max="7" width="11.09765625" style="556" customWidth="1"/>
    <col min="8" max="8" width="15.296875" style="63" customWidth="1"/>
    <col min="9" max="9" width="14" style="63" customWidth="1"/>
    <col min="10" max="10" width="15.296875" style="63" customWidth="1"/>
    <col min="11" max="239" width="6.69921875" style="63" customWidth="1"/>
    <col min="240" max="240" width="4.19921875" style="63" customWidth="1"/>
    <col min="241" max="241" width="21.69921875" style="63" customWidth="1"/>
    <col min="242" max="242" width="6.69921875" style="63" customWidth="1"/>
    <col min="243" max="243" width="10.8984375" style="63" customWidth="1"/>
    <col min="244" max="253" width="9.8984375" style="63"/>
    <col min="254" max="254" width="3" style="63" customWidth="1"/>
    <col min="255" max="255" width="25.3984375" style="63" customWidth="1"/>
    <col min="256" max="258" width="14.296875" style="63" customWidth="1"/>
    <col min="259" max="259" width="13.19921875" style="63" customWidth="1"/>
    <col min="260" max="260" width="10.3984375" style="63" customWidth="1"/>
    <col min="261" max="495" width="6.69921875" style="63" customWidth="1"/>
    <col min="496" max="496" width="4.19921875" style="63" customWidth="1"/>
    <col min="497" max="497" width="21.69921875" style="63" customWidth="1"/>
    <col min="498" max="498" width="6.69921875" style="63" customWidth="1"/>
    <col min="499" max="499" width="10.8984375" style="63" customWidth="1"/>
    <col min="500" max="509" width="9.8984375" style="63"/>
    <col min="510" max="510" width="3" style="63" customWidth="1"/>
    <col min="511" max="511" width="25.3984375" style="63" customWidth="1"/>
    <col min="512" max="514" width="14.296875" style="63" customWidth="1"/>
    <col min="515" max="515" width="13.19921875" style="63" customWidth="1"/>
    <col min="516" max="516" width="10.3984375" style="63" customWidth="1"/>
    <col min="517" max="751" width="6.69921875" style="63" customWidth="1"/>
    <col min="752" max="752" width="4.19921875" style="63" customWidth="1"/>
    <col min="753" max="753" width="21.69921875" style="63" customWidth="1"/>
    <col min="754" max="754" width="6.69921875" style="63" customWidth="1"/>
    <col min="755" max="755" width="10.8984375" style="63" customWidth="1"/>
    <col min="756" max="765" width="9.8984375" style="63"/>
    <col min="766" max="766" width="3" style="63" customWidth="1"/>
    <col min="767" max="767" width="25.3984375" style="63" customWidth="1"/>
    <col min="768" max="770" width="14.296875" style="63" customWidth="1"/>
    <col min="771" max="771" width="13.19921875" style="63" customWidth="1"/>
    <col min="772" max="772" width="10.3984375" style="63" customWidth="1"/>
    <col min="773" max="1007" width="6.69921875" style="63" customWidth="1"/>
    <col min="1008" max="1008" width="4.19921875" style="63" customWidth="1"/>
    <col min="1009" max="1009" width="21.69921875" style="63" customWidth="1"/>
    <col min="1010" max="1010" width="6.69921875" style="63" customWidth="1"/>
    <col min="1011" max="1011" width="10.8984375" style="63" customWidth="1"/>
    <col min="1012" max="1021" width="9.8984375" style="63"/>
    <col min="1022" max="1022" width="3" style="63" customWidth="1"/>
    <col min="1023" max="1023" width="25.3984375" style="63" customWidth="1"/>
    <col min="1024" max="1026" width="14.296875" style="63" customWidth="1"/>
    <col min="1027" max="1027" width="13.19921875" style="63" customWidth="1"/>
    <col min="1028" max="1028" width="10.3984375" style="63" customWidth="1"/>
    <col min="1029" max="1263" width="6.69921875" style="63" customWidth="1"/>
    <col min="1264" max="1264" width="4.19921875" style="63" customWidth="1"/>
    <col min="1265" max="1265" width="21.69921875" style="63" customWidth="1"/>
    <col min="1266" max="1266" width="6.69921875" style="63" customWidth="1"/>
    <col min="1267" max="1267" width="10.8984375" style="63" customWidth="1"/>
    <col min="1268" max="1277" width="9.8984375" style="63"/>
    <col min="1278" max="1278" width="3" style="63" customWidth="1"/>
    <col min="1279" max="1279" width="25.3984375" style="63" customWidth="1"/>
    <col min="1280" max="1282" width="14.296875" style="63" customWidth="1"/>
    <col min="1283" max="1283" width="13.19921875" style="63" customWidth="1"/>
    <col min="1284" max="1284" width="10.3984375" style="63" customWidth="1"/>
    <col min="1285" max="1519" width="6.69921875" style="63" customWidth="1"/>
    <col min="1520" max="1520" width="4.19921875" style="63" customWidth="1"/>
    <col min="1521" max="1521" width="21.69921875" style="63" customWidth="1"/>
    <col min="1522" max="1522" width="6.69921875" style="63" customWidth="1"/>
    <col min="1523" max="1523" width="10.8984375" style="63" customWidth="1"/>
    <col min="1524" max="1533" width="9.8984375" style="63"/>
    <col min="1534" max="1534" width="3" style="63" customWidth="1"/>
    <col min="1535" max="1535" width="25.3984375" style="63" customWidth="1"/>
    <col min="1536" max="1538" width="14.296875" style="63" customWidth="1"/>
    <col min="1539" max="1539" width="13.19921875" style="63" customWidth="1"/>
    <col min="1540" max="1540" width="10.3984375" style="63" customWidth="1"/>
    <col min="1541" max="1775" width="6.69921875" style="63" customWidth="1"/>
    <col min="1776" max="1776" width="4.19921875" style="63" customWidth="1"/>
    <col min="1777" max="1777" width="21.69921875" style="63" customWidth="1"/>
    <col min="1778" max="1778" width="6.69921875" style="63" customWidth="1"/>
    <col min="1779" max="1779" width="10.8984375" style="63" customWidth="1"/>
    <col min="1780" max="1789" width="9.8984375" style="63"/>
    <col min="1790" max="1790" width="3" style="63" customWidth="1"/>
    <col min="1791" max="1791" width="25.3984375" style="63" customWidth="1"/>
    <col min="1792" max="1794" width="14.296875" style="63" customWidth="1"/>
    <col min="1795" max="1795" width="13.19921875" style="63" customWidth="1"/>
    <col min="1796" max="1796" width="10.3984375" style="63" customWidth="1"/>
    <col min="1797" max="2031" width="6.69921875" style="63" customWidth="1"/>
    <col min="2032" max="2032" width="4.19921875" style="63" customWidth="1"/>
    <col min="2033" max="2033" width="21.69921875" style="63" customWidth="1"/>
    <col min="2034" max="2034" width="6.69921875" style="63" customWidth="1"/>
    <col min="2035" max="2035" width="10.8984375" style="63" customWidth="1"/>
    <col min="2036" max="2045" width="9.8984375" style="63"/>
    <col min="2046" max="2046" width="3" style="63" customWidth="1"/>
    <col min="2047" max="2047" width="25.3984375" style="63" customWidth="1"/>
    <col min="2048" max="2050" width="14.296875" style="63" customWidth="1"/>
    <col min="2051" max="2051" width="13.19921875" style="63" customWidth="1"/>
    <col min="2052" max="2052" width="10.3984375" style="63" customWidth="1"/>
    <col min="2053" max="2287" width="6.69921875" style="63" customWidth="1"/>
    <col min="2288" max="2288" width="4.19921875" style="63" customWidth="1"/>
    <col min="2289" max="2289" width="21.69921875" style="63" customWidth="1"/>
    <col min="2290" max="2290" width="6.69921875" style="63" customWidth="1"/>
    <col min="2291" max="2291" width="10.8984375" style="63" customWidth="1"/>
    <col min="2292" max="2301" width="9.8984375" style="63"/>
    <col min="2302" max="2302" width="3" style="63" customWidth="1"/>
    <col min="2303" max="2303" width="25.3984375" style="63" customWidth="1"/>
    <col min="2304" max="2306" width="14.296875" style="63" customWidth="1"/>
    <col min="2307" max="2307" width="13.19921875" style="63" customWidth="1"/>
    <col min="2308" max="2308" width="10.3984375" style="63" customWidth="1"/>
    <col min="2309" max="2543" width="6.69921875" style="63" customWidth="1"/>
    <col min="2544" max="2544" width="4.19921875" style="63" customWidth="1"/>
    <col min="2545" max="2545" width="21.69921875" style="63" customWidth="1"/>
    <col min="2546" max="2546" width="6.69921875" style="63" customWidth="1"/>
    <col min="2547" max="2547" width="10.8984375" style="63" customWidth="1"/>
    <col min="2548" max="2557" width="9.8984375" style="63"/>
    <col min="2558" max="2558" width="3" style="63" customWidth="1"/>
    <col min="2559" max="2559" width="25.3984375" style="63" customWidth="1"/>
    <col min="2560" max="2562" width="14.296875" style="63" customWidth="1"/>
    <col min="2563" max="2563" width="13.19921875" style="63" customWidth="1"/>
    <col min="2564" max="2564" width="10.3984375" style="63" customWidth="1"/>
    <col min="2565" max="2799" width="6.69921875" style="63" customWidth="1"/>
    <col min="2800" max="2800" width="4.19921875" style="63" customWidth="1"/>
    <col min="2801" max="2801" width="21.69921875" style="63" customWidth="1"/>
    <col min="2802" max="2802" width="6.69921875" style="63" customWidth="1"/>
    <col min="2803" max="2803" width="10.8984375" style="63" customWidth="1"/>
    <col min="2804" max="2813" width="9.8984375" style="63"/>
    <col min="2814" max="2814" width="3" style="63" customWidth="1"/>
    <col min="2815" max="2815" width="25.3984375" style="63" customWidth="1"/>
    <col min="2816" max="2818" width="14.296875" style="63" customWidth="1"/>
    <col min="2819" max="2819" width="13.19921875" style="63" customWidth="1"/>
    <col min="2820" max="2820" width="10.3984375" style="63" customWidth="1"/>
    <col min="2821" max="3055" width="6.69921875" style="63" customWidth="1"/>
    <col min="3056" max="3056" width="4.19921875" style="63" customWidth="1"/>
    <col min="3057" max="3057" width="21.69921875" style="63" customWidth="1"/>
    <col min="3058" max="3058" width="6.69921875" style="63" customWidth="1"/>
    <col min="3059" max="3059" width="10.8984375" style="63" customWidth="1"/>
    <col min="3060" max="3069" width="9.8984375" style="63"/>
    <col min="3070" max="3070" width="3" style="63" customWidth="1"/>
    <col min="3071" max="3071" width="25.3984375" style="63" customWidth="1"/>
    <col min="3072" max="3074" width="14.296875" style="63" customWidth="1"/>
    <col min="3075" max="3075" width="13.19921875" style="63" customWidth="1"/>
    <col min="3076" max="3076" width="10.3984375" style="63" customWidth="1"/>
    <col min="3077" max="3311" width="6.69921875" style="63" customWidth="1"/>
    <col min="3312" max="3312" width="4.19921875" style="63" customWidth="1"/>
    <col min="3313" max="3313" width="21.69921875" style="63" customWidth="1"/>
    <col min="3314" max="3314" width="6.69921875" style="63" customWidth="1"/>
    <col min="3315" max="3315" width="10.8984375" style="63" customWidth="1"/>
    <col min="3316" max="3325" width="9.8984375" style="63"/>
    <col min="3326" max="3326" width="3" style="63" customWidth="1"/>
    <col min="3327" max="3327" width="25.3984375" style="63" customWidth="1"/>
    <col min="3328" max="3330" width="14.296875" style="63" customWidth="1"/>
    <col min="3331" max="3331" width="13.19921875" style="63" customWidth="1"/>
    <col min="3332" max="3332" width="10.3984375" style="63" customWidth="1"/>
    <col min="3333" max="3567" width="6.69921875" style="63" customWidth="1"/>
    <col min="3568" max="3568" width="4.19921875" style="63" customWidth="1"/>
    <col min="3569" max="3569" width="21.69921875" style="63" customWidth="1"/>
    <col min="3570" max="3570" width="6.69921875" style="63" customWidth="1"/>
    <col min="3571" max="3571" width="10.8984375" style="63" customWidth="1"/>
    <col min="3572" max="3581" width="9.8984375" style="63"/>
    <col min="3582" max="3582" width="3" style="63" customWidth="1"/>
    <col min="3583" max="3583" width="25.3984375" style="63" customWidth="1"/>
    <col min="3584" max="3586" width="14.296875" style="63" customWidth="1"/>
    <col min="3587" max="3587" width="13.19921875" style="63" customWidth="1"/>
    <col min="3588" max="3588" width="10.3984375" style="63" customWidth="1"/>
    <col min="3589" max="3823" width="6.69921875" style="63" customWidth="1"/>
    <col min="3824" max="3824" width="4.19921875" style="63" customWidth="1"/>
    <col min="3825" max="3825" width="21.69921875" style="63" customWidth="1"/>
    <col min="3826" max="3826" width="6.69921875" style="63" customWidth="1"/>
    <col min="3827" max="3827" width="10.8984375" style="63" customWidth="1"/>
    <col min="3828" max="3837" width="9.8984375" style="63"/>
    <col min="3838" max="3838" width="3" style="63" customWidth="1"/>
    <col min="3839" max="3839" width="25.3984375" style="63" customWidth="1"/>
    <col min="3840" max="3842" width="14.296875" style="63" customWidth="1"/>
    <col min="3843" max="3843" width="13.19921875" style="63" customWidth="1"/>
    <col min="3844" max="3844" width="10.3984375" style="63" customWidth="1"/>
    <col min="3845" max="4079" width="6.69921875" style="63" customWidth="1"/>
    <col min="4080" max="4080" width="4.19921875" style="63" customWidth="1"/>
    <col min="4081" max="4081" width="21.69921875" style="63" customWidth="1"/>
    <col min="4082" max="4082" width="6.69921875" style="63" customWidth="1"/>
    <col min="4083" max="4083" width="10.8984375" style="63" customWidth="1"/>
    <col min="4084" max="4093" width="9.8984375" style="63"/>
    <col min="4094" max="4094" width="3" style="63" customWidth="1"/>
    <col min="4095" max="4095" width="25.3984375" style="63" customWidth="1"/>
    <col min="4096" max="4098" width="14.296875" style="63" customWidth="1"/>
    <col min="4099" max="4099" width="13.19921875" style="63" customWidth="1"/>
    <col min="4100" max="4100" width="10.3984375" style="63" customWidth="1"/>
    <col min="4101" max="4335" width="6.69921875" style="63" customWidth="1"/>
    <col min="4336" max="4336" width="4.19921875" style="63" customWidth="1"/>
    <col min="4337" max="4337" width="21.69921875" style="63" customWidth="1"/>
    <col min="4338" max="4338" width="6.69921875" style="63" customWidth="1"/>
    <col min="4339" max="4339" width="10.8984375" style="63" customWidth="1"/>
    <col min="4340" max="4349" width="9.8984375" style="63"/>
    <col min="4350" max="4350" width="3" style="63" customWidth="1"/>
    <col min="4351" max="4351" width="25.3984375" style="63" customWidth="1"/>
    <col min="4352" max="4354" width="14.296875" style="63" customWidth="1"/>
    <col min="4355" max="4355" width="13.19921875" style="63" customWidth="1"/>
    <col min="4356" max="4356" width="10.3984375" style="63" customWidth="1"/>
    <col min="4357" max="4591" width="6.69921875" style="63" customWidth="1"/>
    <col min="4592" max="4592" width="4.19921875" style="63" customWidth="1"/>
    <col min="4593" max="4593" width="21.69921875" style="63" customWidth="1"/>
    <col min="4594" max="4594" width="6.69921875" style="63" customWidth="1"/>
    <col min="4595" max="4595" width="10.8984375" style="63" customWidth="1"/>
    <col min="4596" max="4605" width="9.8984375" style="63"/>
    <col min="4606" max="4606" width="3" style="63" customWidth="1"/>
    <col min="4607" max="4607" width="25.3984375" style="63" customWidth="1"/>
    <col min="4608" max="4610" width="14.296875" style="63" customWidth="1"/>
    <col min="4611" max="4611" width="13.19921875" style="63" customWidth="1"/>
    <col min="4612" max="4612" width="10.3984375" style="63" customWidth="1"/>
    <col min="4613" max="4847" width="6.69921875" style="63" customWidth="1"/>
    <col min="4848" max="4848" width="4.19921875" style="63" customWidth="1"/>
    <col min="4849" max="4849" width="21.69921875" style="63" customWidth="1"/>
    <col min="4850" max="4850" width="6.69921875" style="63" customWidth="1"/>
    <col min="4851" max="4851" width="10.8984375" style="63" customWidth="1"/>
    <col min="4852" max="4861" width="9.8984375" style="63"/>
    <col min="4862" max="4862" width="3" style="63" customWidth="1"/>
    <col min="4863" max="4863" width="25.3984375" style="63" customWidth="1"/>
    <col min="4864" max="4866" width="14.296875" style="63" customWidth="1"/>
    <col min="4867" max="4867" width="13.19921875" style="63" customWidth="1"/>
    <col min="4868" max="4868" width="10.3984375" style="63" customWidth="1"/>
    <col min="4869" max="5103" width="6.69921875" style="63" customWidth="1"/>
    <col min="5104" max="5104" width="4.19921875" style="63" customWidth="1"/>
    <col min="5105" max="5105" width="21.69921875" style="63" customWidth="1"/>
    <col min="5106" max="5106" width="6.69921875" style="63" customWidth="1"/>
    <col min="5107" max="5107" width="10.8984375" style="63" customWidth="1"/>
    <col min="5108" max="5117" width="9.8984375" style="63"/>
    <col min="5118" max="5118" width="3" style="63" customWidth="1"/>
    <col min="5119" max="5119" width="25.3984375" style="63" customWidth="1"/>
    <col min="5120" max="5122" width="14.296875" style="63" customWidth="1"/>
    <col min="5123" max="5123" width="13.19921875" style="63" customWidth="1"/>
    <col min="5124" max="5124" width="10.3984375" style="63" customWidth="1"/>
    <col min="5125" max="5359" width="6.69921875" style="63" customWidth="1"/>
    <col min="5360" max="5360" width="4.19921875" style="63" customWidth="1"/>
    <col min="5361" max="5361" width="21.69921875" style="63" customWidth="1"/>
    <col min="5362" max="5362" width="6.69921875" style="63" customWidth="1"/>
    <col min="5363" max="5363" width="10.8984375" style="63" customWidth="1"/>
    <col min="5364" max="5373" width="9.8984375" style="63"/>
    <col min="5374" max="5374" width="3" style="63" customWidth="1"/>
    <col min="5375" max="5375" width="25.3984375" style="63" customWidth="1"/>
    <col min="5376" max="5378" width="14.296875" style="63" customWidth="1"/>
    <col min="5379" max="5379" width="13.19921875" style="63" customWidth="1"/>
    <col min="5380" max="5380" width="10.3984375" style="63" customWidth="1"/>
    <col min="5381" max="5615" width="6.69921875" style="63" customWidth="1"/>
    <col min="5616" max="5616" width="4.19921875" style="63" customWidth="1"/>
    <col min="5617" max="5617" width="21.69921875" style="63" customWidth="1"/>
    <col min="5618" max="5618" width="6.69921875" style="63" customWidth="1"/>
    <col min="5619" max="5619" width="10.8984375" style="63" customWidth="1"/>
    <col min="5620" max="5629" width="9.8984375" style="63"/>
    <col min="5630" max="5630" width="3" style="63" customWidth="1"/>
    <col min="5631" max="5631" width="25.3984375" style="63" customWidth="1"/>
    <col min="5632" max="5634" width="14.296875" style="63" customWidth="1"/>
    <col min="5635" max="5635" width="13.19921875" style="63" customWidth="1"/>
    <col min="5636" max="5636" width="10.3984375" style="63" customWidth="1"/>
    <col min="5637" max="5871" width="6.69921875" style="63" customWidth="1"/>
    <col min="5872" max="5872" width="4.19921875" style="63" customWidth="1"/>
    <col min="5873" max="5873" width="21.69921875" style="63" customWidth="1"/>
    <col min="5874" max="5874" width="6.69921875" style="63" customWidth="1"/>
    <col min="5875" max="5875" width="10.8984375" style="63" customWidth="1"/>
    <col min="5876" max="5885" width="9.8984375" style="63"/>
    <col min="5886" max="5886" width="3" style="63" customWidth="1"/>
    <col min="5887" max="5887" width="25.3984375" style="63" customWidth="1"/>
    <col min="5888" max="5890" width="14.296875" style="63" customWidth="1"/>
    <col min="5891" max="5891" width="13.19921875" style="63" customWidth="1"/>
    <col min="5892" max="5892" width="10.3984375" style="63" customWidth="1"/>
    <col min="5893" max="6127" width="6.69921875" style="63" customWidth="1"/>
    <col min="6128" max="6128" width="4.19921875" style="63" customWidth="1"/>
    <col min="6129" max="6129" width="21.69921875" style="63" customWidth="1"/>
    <col min="6130" max="6130" width="6.69921875" style="63" customWidth="1"/>
    <col min="6131" max="6131" width="10.8984375" style="63" customWidth="1"/>
    <col min="6132" max="6141" width="9.8984375" style="63"/>
    <col min="6142" max="6142" width="3" style="63" customWidth="1"/>
    <col min="6143" max="6143" width="25.3984375" style="63" customWidth="1"/>
    <col min="6144" max="6146" width="14.296875" style="63" customWidth="1"/>
    <col min="6147" max="6147" width="13.19921875" style="63" customWidth="1"/>
    <col min="6148" max="6148" width="10.3984375" style="63" customWidth="1"/>
    <col min="6149" max="6383" width="6.69921875" style="63" customWidth="1"/>
    <col min="6384" max="6384" width="4.19921875" style="63" customWidth="1"/>
    <col min="6385" max="6385" width="21.69921875" style="63" customWidth="1"/>
    <col min="6386" max="6386" width="6.69921875" style="63" customWidth="1"/>
    <col min="6387" max="6387" width="10.8984375" style="63" customWidth="1"/>
    <col min="6388" max="6397" width="9.8984375" style="63"/>
    <col min="6398" max="6398" width="3" style="63" customWidth="1"/>
    <col min="6399" max="6399" width="25.3984375" style="63" customWidth="1"/>
    <col min="6400" max="6402" width="14.296875" style="63" customWidth="1"/>
    <col min="6403" max="6403" width="13.19921875" style="63" customWidth="1"/>
    <col min="6404" max="6404" width="10.3984375" style="63" customWidth="1"/>
    <col min="6405" max="6639" width="6.69921875" style="63" customWidth="1"/>
    <col min="6640" max="6640" width="4.19921875" style="63" customWidth="1"/>
    <col min="6641" max="6641" width="21.69921875" style="63" customWidth="1"/>
    <col min="6642" max="6642" width="6.69921875" style="63" customWidth="1"/>
    <col min="6643" max="6643" width="10.8984375" style="63" customWidth="1"/>
    <col min="6644" max="6653" width="9.8984375" style="63"/>
    <col min="6654" max="6654" width="3" style="63" customWidth="1"/>
    <col min="6655" max="6655" width="25.3984375" style="63" customWidth="1"/>
    <col min="6656" max="6658" width="14.296875" style="63" customWidth="1"/>
    <col min="6659" max="6659" width="13.19921875" style="63" customWidth="1"/>
    <col min="6660" max="6660" width="10.3984375" style="63" customWidth="1"/>
    <col min="6661" max="6895" width="6.69921875" style="63" customWidth="1"/>
    <col min="6896" max="6896" width="4.19921875" style="63" customWidth="1"/>
    <col min="6897" max="6897" width="21.69921875" style="63" customWidth="1"/>
    <col min="6898" max="6898" width="6.69921875" style="63" customWidth="1"/>
    <col min="6899" max="6899" width="10.8984375" style="63" customWidth="1"/>
    <col min="6900" max="6909" width="9.8984375" style="63"/>
    <col min="6910" max="6910" width="3" style="63" customWidth="1"/>
    <col min="6911" max="6911" width="25.3984375" style="63" customWidth="1"/>
    <col min="6912" max="6914" width="14.296875" style="63" customWidth="1"/>
    <col min="6915" max="6915" width="13.19921875" style="63" customWidth="1"/>
    <col min="6916" max="6916" width="10.3984375" style="63" customWidth="1"/>
    <col min="6917" max="7151" width="6.69921875" style="63" customWidth="1"/>
    <col min="7152" max="7152" width="4.19921875" style="63" customWidth="1"/>
    <col min="7153" max="7153" width="21.69921875" style="63" customWidth="1"/>
    <col min="7154" max="7154" width="6.69921875" style="63" customWidth="1"/>
    <col min="7155" max="7155" width="10.8984375" style="63" customWidth="1"/>
    <col min="7156" max="7165" width="9.8984375" style="63"/>
    <col min="7166" max="7166" width="3" style="63" customWidth="1"/>
    <col min="7167" max="7167" width="25.3984375" style="63" customWidth="1"/>
    <col min="7168" max="7170" width="14.296875" style="63" customWidth="1"/>
    <col min="7171" max="7171" width="13.19921875" style="63" customWidth="1"/>
    <col min="7172" max="7172" width="10.3984375" style="63" customWidth="1"/>
    <col min="7173" max="7407" width="6.69921875" style="63" customWidth="1"/>
    <col min="7408" max="7408" width="4.19921875" style="63" customWidth="1"/>
    <col min="7409" max="7409" width="21.69921875" style="63" customWidth="1"/>
    <col min="7410" max="7410" width="6.69921875" style="63" customWidth="1"/>
    <col min="7411" max="7411" width="10.8984375" style="63" customWidth="1"/>
    <col min="7412" max="7421" width="9.8984375" style="63"/>
    <col min="7422" max="7422" width="3" style="63" customWidth="1"/>
    <col min="7423" max="7423" width="25.3984375" style="63" customWidth="1"/>
    <col min="7424" max="7426" width="14.296875" style="63" customWidth="1"/>
    <col min="7427" max="7427" width="13.19921875" style="63" customWidth="1"/>
    <col min="7428" max="7428" width="10.3984375" style="63" customWidth="1"/>
    <col min="7429" max="7663" width="6.69921875" style="63" customWidth="1"/>
    <col min="7664" max="7664" width="4.19921875" style="63" customWidth="1"/>
    <col min="7665" max="7665" width="21.69921875" style="63" customWidth="1"/>
    <col min="7666" max="7666" width="6.69921875" style="63" customWidth="1"/>
    <col min="7667" max="7667" width="10.8984375" style="63" customWidth="1"/>
    <col min="7668" max="7677" width="9.8984375" style="63"/>
    <col min="7678" max="7678" width="3" style="63" customWidth="1"/>
    <col min="7679" max="7679" width="25.3984375" style="63" customWidth="1"/>
    <col min="7680" max="7682" width="14.296875" style="63" customWidth="1"/>
    <col min="7683" max="7683" width="13.19921875" style="63" customWidth="1"/>
    <col min="7684" max="7684" width="10.3984375" style="63" customWidth="1"/>
    <col min="7685" max="7919" width="6.69921875" style="63" customWidth="1"/>
    <col min="7920" max="7920" width="4.19921875" style="63" customWidth="1"/>
    <col min="7921" max="7921" width="21.69921875" style="63" customWidth="1"/>
    <col min="7922" max="7922" width="6.69921875" style="63" customWidth="1"/>
    <col min="7923" max="7923" width="10.8984375" style="63" customWidth="1"/>
    <col min="7924" max="7933" width="9.8984375" style="63"/>
    <col min="7934" max="7934" width="3" style="63" customWidth="1"/>
    <col min="7935" max="7935" width="25.3984375" style="63" customWidth="1"/>
    <col min="7936" max="7938" width="14.296875" style="63" customWidth="1"/>
    <col min="7939" max="7939" width="13.19921875" style="63" customWidth="1"/>
    <col min="7940" max="7940" width="10.3984375" style="63" customWidth="1"/>
    <col min="7941" max="8175" width="6.69921875" style="63" customWidth="1"/>
    <col min="8176" max="8176" width="4.19921875" style="63" customWidth="1"/>
    <col min="8177" max="8177" width="21.69921875" style="63" customWidth="1"/>
    <col min="8178" max="8178" width="6.69921875" style="63" customWidth="1"/>
    <col min="8179" max="8179" width="10.8984375" style="63" customWidth="1"/>
    <col min="8180" max="8189" width="9.8984375" style="63"/>
    <col min="8190" max="8190" width="3" style="63" customWidth="1"/>
    <col min="8191" max="8191" width="25.3984375" style="63" customWidth="1"/>
    <col min="8192" max="8194" width="14.296875" style="63" customWidth="1"/>
    <col min="8195" max="8195" width="13.19921875" style="63" customWidth="1"/>
    <col min="8196" max="8196" width="10.3984375" style="63" customWidth="1"/>
    <col min="8197" max="8431" width="6.69921875" style="63" customWidth="1"/>
    <col min="8432" max="8432" width="4.19921875" style="63" customWidth="1"/>
    <col min="8433" max="8433" width="21.69921875" style="63" customWidth="1"/>
    <col min="8434" max="8434" width="6.69921875" style="63" customWidth="1"/>
    <col min="8435" max="8435" width="10.8984375" style="63" customWidth="1"/>
    <col min="8436" max="8445" width="9.8984375" style="63"/>
    <col min="8446" max="8446" width="3" style="63" customWidth="1"/>
    <col min="8447" max="8447" width="25.3984375" style="63" customWidth="1"/>
    <col min="8448" max="8450" width="14.296875" style="63" customWidth="1"/>
    <col min="8451" max="8451" width="13.19921875" style="63" customWidth="1"/>
    <col min="8452" max="8452" width="10.3984375" style="63" customWidth="1"/>
    <col min="8453" max="8687" width="6.69921875" style="63" customWidth="1"/>
    <col min="8688" max="8688" width="4.19921875" style="63" customWidth="1"/>
    <col min="8689" max="8689" width="21.69921875" style="63" customWidth="1"/>
    <col min="8690" max="8690" width="6.69921875" style="63" customWidth="1"/>
    <col min="8691" max="8691" width="10.8984375" style="63" customWidth="1"/>
    <col min="8692" max="8701" width="9.8984375" style="63"/>
    <col min="8702" max="8702" width="3" style="63" customWidth="1"/>
    <col min="8703" max="8703" width="25.3984375" style="63" customWidth="1"/>
    <col min="8704" max="8706" width="14.296875" style="63" customWidth="1"/>
    <col min="8707" max="8707" width="13.19921875" style="63" customWidth="1"/>
    <col min="8708" max="8708" width="10.3984375" style="63" customWidth="1"/>
    <col min="8709" max="8943" width="6.69921875" style="63" customWidth="1"/>
    <col min="8944" max="8944" width="4.19921875" style="63" customWidth="1"/>
    <col min="8945" max="8945" width="21.69921875" style="63" customWidth="1"/>
    <col min="8946" max="8946" width="6.69921875" style="63" customWidth="1"/>
    <col min="8947" max="8947" width="10.8984375" style="63" customWidth="1"/>
    <col min="8948" max="8957" width="9.8984375" style="63"/>
    <col min="8958" max="8958" width="3" style="63" customWidth="1"/>
    <col min="8959" max="8959" width="25.3984375" style="63" customWidth="1"/>
    <col min="8960" max="8962" width="14.296875" style="63" customWidth="1"/>
    <col min="8963" max="8963" width="13.19921875" style="63" customWidth="1"/>
    <col min="8964" max="8964" width="10.3984375" style="63" customWidth="1"/>
    <col min="8965" max="9199" width="6.69921875" style="63" customWidth="1"/>
    <col min="9200" max="9200" width="4.19921875" style="63" customWidth="1"/>
    <col min="9201" max="9201" width="21.69921875" style="63" customWidth="1"/>
    <col min="9202" max="9202" width="6.69921875" style="63" customWidth="1"/>
    <col min="9203" max="9203" width="10.8984375" style="63" customWidth="1"/>
    <col min="9204" max="9213" width="9.8984375" style="63"/>
    <col min="9214" max="9214" width="3" style="63" customWidth="1"/>
    <col min="9215" max="9215" width="25.3984375" style="63" customWidth="1"/>
    <col min="9216" max="9218" width="14.296875" style="63" customWidth="1"/>
    <col min="9219" max="9219" width="13.19921875" style="63" customWidth="1"/>
    <col min="9220" max="9220" width="10.3984375" style="63" customWidth="1"/>
    <col min="9221" max="9455" width="6.69921875" style="63" customWidth="1"/>
    <col min="9456" max="9456" width="4.19921875" style="63" customWidth="1"/>
    <col min="9457" max="9457" width="21.69921875" style="63" customWidth="1"/>
    <col min="9458" max="9458" width="6.69921875" style="63" customWidth="1"/>
    <col min="9459" max="9459" width="10.8984375" style="63" customWidth="1"/>
    <col min="9460" max="9469" width="9.8984375" style="63"/>
    <col min="9470" max="9470" width="3" style="63" customWidth="1"/>
    <col min="9471" max="9471" width="25.3984375" style="63" customWidth="1"/>
    <col min="9472" max="9474" width="14.296875" style="63" customWidth="1"/>
    <col min="9475" max="9475" width="13.19921875" style="63" customWidth="1"/>
    <col min="9476" max="9476" width="10.3984375" style="63" customWidth="1"/>
    <col min="9477" max="9711" width="6.69921875" style="63" customWidth="1"/>
    <col min="9712" max="9712" width="4.19921875" style="63" customWidth="1"/>
    <col min="9713" max="9713" width="21.69921875" style="63" customWidth="1"/>
    <col min="9714" max="9714" width="6.69921875" style="63" customWidth="1"/>
    <col min="9715" max="9715" width="10.8984375" style="63" customWidth="1"/>
    <col min="9716" max="9725" width="9.8984375" style="63"/>
    <col min="9726" max="9726" width="3" style="63" customWidth="1"/>
    <col min="9727" max="9727" width="25.3984375" style="63" customWidth="1"/>
    <col min="9728" max="9730" width="14.296875" style="63" customWidth="1"/>
    <col min="9731" max="9731" width="13.19921875" style="63" customWidth="1"/>
    <col min="9732" max="9732" width="10.3984375" style="63" customWidth="1"/>
    <col min="9733" max="9967" width="6.69921875" style="63" customWidth="1"/>
    <col min="9968" max="9968" width="4.19921875" style="63" customWidth="1"/>
    <col min="9969" max="9969" width="21.69921875" style="63" customWidth="1"/>
    <col min="9970" max="9970" width="6.69921875" style="63" customWidth="1"/>
    <col min="9971" max="9971" width="10.8984375" style="63" customWidth="1"/>
    <col min="9972" max="9981" width="9.8984375" style="63"/>
    <col min="9982" max="9982" width="3" style="63" customWidth="1"/>
    <col min="9983" max="9983" width="25.3984375" style="63" customWidth="1"/>
    <col min="9984" max="9986" width="14.296875" style="63" customWidth="1"/>
    <col min="9987" max="9987" width="13.19921875" style="63" customWidth="1"/>
    <col min="9988" max="9988" width="10.3984375" style="63" customWidth="1"/>
    <col min="9989" max="10223" width="6.69921875" style="63" customWidth="1"/>
    <col min="10224" max="10224" width="4.19921875" style="63" customWidth="1"/>
    <col min="10225" max="10225" width="21.69921875" style="63" customWidth="1"/>
    <col min="10226" max="10226" width="6.69921875" style="63" customWidth="1"/>
    <col min="10227" max="10227" width="10.8984375" style="63" customWidth="1"/>
    <col min="10228" max="10237" width="9.8984375" style="63"/>
    <col min="10238" max="10238" width="3" style="63" customWidth="1"/>
    <col min="10239" max="10239" width="25.3984375" style="63" customWidth="1"/>
    <col min="10240" max="10242" width="14.296875" style="63" customWidth="1"/>
    <col min="10243" max="10243" width="13.19921875" style="63" customWidth="1"/>
    <col min="10244" max="10244" width="10.3984375" style="63" customWidth="1"/>
    <col min="10245" max="10479" width="6.69921875" style="63" customWidth="1"/>
    <col min="10480" max="10480" width="4.19921875" style="63" customWidth="1"/>
    <col min="10481" max="10481" width="21.69921875" style="63" customWidth="1"/>
    <col min="10482" max="10482" width="6.69921875" style="63" customWidth="1"/>
    <col min="10483" max="10483" width="10.8984375" style="63" customWidth="1"/>
    <col min="10484" max="10493" width="9.8984375" style="63"/>
    <col min="10494" max="10494" width="3" style="63" customWidth="1"/>
    <col min="10495" max="10495" width="25.3984375" style="63" customWidth="1"/>
    <col min="10496" max="10498" width="14.296875" style="63" customWidth="1"/>
    <col min="10499" max="10499" width="13.19921875" style="63" customWidth="1"/>
    <col min="10500" max="10500" width="10.3984375" style="63" customWidth="1"/>
    <col min="10501" max="10735" width="6.69921875" style="63" customWidth="1"/>
    <col min="10736" max="10736" width="4.19921875" style="63" customWidth="1"/>
    <col min="10737" max="10737" width="21.69921875" style="63" customWidth="1"/>
    <col min="10738" max="10738" width="6.69921875" style="63" customWidth="1"/>
    <col min="10739" max="10739" width="10.8984375" style="63" customWidth="1"/>
    <col min="10740" max="10749" width="9.8984375" style="63"/>
    <col min="10750" max="10750" width="3" style="63" customWidth="1"/>
    <col min="10751" max="10751" width="25.3984375" style="63" customWidth="1"/>
    <col min="10752" max="10754" width="14.296875" style="63" customWidth="1"/>
    <col min="10755" max="10755" width="13.19921875" style="63" customWidth="1"/>
    <col min="10756" max="10756" width="10.3984375" style="63" customWidth="1"/>
    <col min="10757" max="10991" width="6.69921875" style="63" customWidth="1"/>
    <col min="10992" max="10992" width="4.19921875" style="63" customWidth="1"/>
    <col min="10993" max="10993" width="21.69921875" style="63" customWidth="1"/>
    <col min="10994" max="10994" width="6.69921875" style="63" customWidth="1"/>
    <col min="10995" max="10995" width="10.8984375" style="63" customWidth="1"/>
    <col min="10996" max="11005" width="9.8984375" style="63"/>
    <col min="11006" max="11006" width="3" style="63" customWidth="1"/>
    <col min="11007" max="11007" width="25.3984375" style="63" customWidth="1"/>
    <col min="11008" max="11010" width="14.296875" style="63" customWidth="1"/>
    <col min="11011" max="11011" width="13.19921875" style="63" customWidth="1"/>
    <col min="11012" max="11012" width="10.3984375" style="63" customWidth="1"/>
    <col min="11013" max="11247" width="6.69921875" style="63" customWidth="1"/>
    <col min="11248" max="11248" width="4.19921875" style="63" customWidth="1"/>
    <col min="11249" max="11249" width="21.69921875" style="63" customWidth="1"/>
    <col min="11250" max="11250" width="6.69921875" style="63" customWidth="1"/>
    <col min="11251" max="11251" width="10.8984375" style="63" customWidth="1"/>
    <col min="11252" max="11261" width="9.8984375" style="63"/>
    <col min="11262" max="11262" width="3" style="63" customWidth="1"/>
    <col min="11263" max="11263" width="25.3984375" style="63" customWidth="1"/>
    <col min="11264" max="11266" width="14.296875" style="63" customWidth="1"/>
    <col min="11267" max="11267" width="13.19921875" style="63" customWidth="1"/>
    <col min="11268" max="11268" width="10.3984375" style="63" customWidth="1"/>
    <col min="11269" max="11503" width="6.69921875" style="63" customWidth="1"/>
    <col min="11504" max="11504" width="4.19921875" style="63" customWidth="1"/>
    <col min="11505" max="11505" width="21.69921875" style="63" customWidth="1"/>
    <col min="11506" max="11506" width="6.69921875" style="63" customWidth="1"/>
    <col min="11507" max="11507" width="10.8984375" style="63" customWidth="1"/>
    <col min="11508" max="11517" width="9.8984375" style="63"/>
    <col min="11518" max="11518" width="3" style="63" customWidth="1"/>
    <col min="11519" max="11519" width="25.3984375" style="63" customWidth="1"/>
    <col min="11520" max="11522" width="14.296875" style="63" customWidth="1"/>
    <col min="11523" max="11523" width="13.19921875" style="63" customWidth="1"/>
    <col min="11524" max="11524" width="10.3984375" style="63" customWidth="1"/>
    <col min="11525" max="11759" width="6.69921875" style="63" customWidth="1"/>
    <col min="11760" max="11760" width="4.19921875" style="63" customWidth="1"/>
    <col min="11761" max="11761" width="21.69921875" style="63" customWidth="1"/>
    <col min="11762" max="11762" width="6.69921875" style="63" customWidth="1"/>
    <col min="11763" max="11763" width="10.8984375" style="63" customWidth="1"/>
    <col min="11764" max="11773" width="9.8984375" style="63"/>
    <col min="11774" max="11774" width="3" style="63" customWidth="1"/>
    <col min="11775" max="11775" width="25.3984375" style="63" customWidth="1"/>
    <col min="11776" max="11778" width="14.296875" style="63" customWidth="1"/>
    <col min="11779" max="11779" width="13.19921875" style="63" customWidth="1"/>
    <col min="11780" max="11780" width="10.3984375" style="63" customWidth="1"/>
    <col min="11781" max="12015" width="6.69921875" style="63" customWidth="1"/>
    <col min="12016" max="12016" width="4.19921875" style="63" customWidth="1"/>
    <col min="12017" max="12017" width="21.69921875" style="63" customWidth="1"/>
    <col min="12018" max="12018" width="6.69921875" style="63" customWidth="1"/>
    <col min="12019" max="12019" width="10.8984375" style="63" customWidth="1"/>
    <col min="12020" max="12029" width="9.8984375" style="63"/>
    <col min="12030" max="12030" width="3" style="63" customWidth="1"/>
    <col min="12031" max="12031" width="25.3984375" style="63" customWidth="1"/>
    <col min="12032" max="12034" width="14.296875" style="63" customWidth="1"/>
    <col min="12035" max="12035" width="13.19921875" style="63" customWidth="1"/>
    <col min="12036" max="12036" width="10.3984375" style="63" customWidth="1"/>
    <col min="12037" max="12271" width="6.69921875" style="63" customWidth="1"/>
    <col min="12272" max="12272" width="4.19921875" style="63" customWidth="1"/>
    <col min="12273" max="12273" width="21.69921875" style="63" customWidth="1"/>
    <col min="12274" max="12274" width="6.69921875" style="63" customWidth="1"/>
    <col min="12275" max="12275" width="10.8984375" style="63" customWidth="1"/>
    <col min="12276" max="12285" width="9.8984375" style="63"/>
    <col min="12286" max="12286" width="3" style="63" customWidth="1"/>
    <col min="12287" max="12287" width="25.3984375" style="63" customWidth="1"/>
    <col min="12288" max="12290" width="14.296875" style="63" customWidth="1"/>
    <col min="12291" max="12291" width="13.19921875" style="63" customWidth="1"/>
    <col min="12292" max="12292" width="10.3984375" style="63" customWidth="1"/>
    <col min="12293" max="12527" width="6.69921875" style="63" customWidth="1"/>
    <col min="12528" max="12528" width="4.19921875" style="63" customWidth="1"/>
    <col min="12529" max="12529" width="21.69921875" style="63" customWidth="1"/>
    <col min="12530" max="12530" width="6.69921875" style="63" customWidth="1"/>
    <col min="12531" max="12531" width="10.8984375" style="63" customWidth="1"/>
    <col min="12532" max="12541" width="9.8984375" style="63"/>
    <col min="12542" max="12542" width="3" style="63" customWidth="1"/>
    <col min="12543" max="12543" width="25.3984375" style="63" customWidth="1"/>
    <col min="12544" max="12546" width="14.296875" style="63" customWidth="1"/>
    <col min="12547" max="12547" width="13.19921875" style="63" customWidth="1"/>
    <col min="12548" max="12548" width="10.3984375" style="63" customWidth="1"/>
    <col min="12549" max="12783" width="6.69921875" style="63" customWidth="1"/>
    <col min="12784" max="12784" width="4.19921875" style="63" customWidth="1"/>
    <col min="12785" max="12785" width="21.69921875" style="63" customWidth="1"/>
    <col min="12786" max="12786" width="6.69921875" style="63" customWidth="1"/>
    <col min="12787" max="12787" width="10.8984375" style="63" customWidth="1"/>
    <col min="12788" max="12797" width="9.8984375" style="63"/>
    <col min="12798" max="12798" width="3" style="63" customWidth="1"/>
    <col min="12799" max="12799" width="25.3984375" style="63" customWidth="1"/>
    <col min="12800" max="12802" width="14.296875" style="63" customWidth="1"/>
    <col min="12803" max="12803" width="13.19921875" style="63" customWidth="1"/>
    <col min="12804" max="12804" width="10.3984375" style="63" customWidth="1"/>
    <col min="12805" max="13039" width="6.69921875" style="63" customWidth="1"/>
    <col min="13040" max="13040" width="4.19921875" style="63" customWidth="1"/>
    <col min="13041" max="13041" width="21.69921875" style="63" customWidth="1"/>
    <col min="13042" max="13042" width="6.69921875" style="63" customWidth="1"/>
    <col min="13043" max="13043" width="10.8984375" style="63" customWidth="1"/>
    <col min="13044" max="13053" width="9.8984375" style="63"/>
    <col min="13054" max="13054" width="3" style="63" customWidth="1"/>
    <col min="13055" max="13055" width="25.3984375" style="63" customWidth="1"/>
    <col min="13056" max="13058" width="14.296875" style="63" customWidth="1"/>
    <col min="13059" max="13059" width="13.19921875" style="63" customWidth="1"/>
    <col min="13060" max="13060" width="10.3984375" style="63" customWidth="1"/>
    <col min="13061" max="13295" width="6.69921875" style="63" customWidth="1"/>
    <col min="13296" max="13296" width="4.19921875" style="63" customWidth="1"/>
    <col min="13297" max="13297" width="21.69921875" style="63" customWidth="1"/>
    <col min="13298" max="13298" width="6.69921875" style="63" customWidth="1"/>
    <col min="13299" max="13299" width="10.8984375" style="63" customWidth="1"/>
    <col min="13300" max="13309" width="9.8984375" style="63"/>
    <col min="13310" max="13310" width="3" style="63" customWidth="1"/>
    <col min="13311" max="13311" width="25.3984375" style="63" customWidth="1"/>
    <col min="13312" max="13314" width="14.296875" style="63" customWidth="1"/>
    <col min="13315" max="13315" width="13.19921875" style="63" customWidth="1"/>
    <col min="13316" max="13316" width="10.3984375" style="63" customWidth="1"/>
    <col min="13317" max="13551" width="6.69921875" style="63" customWidth="1"/>
    <col min="13552" max="13552" width="4.19921875" style="63" customWidth="1"/>
    <col min="13553" max="13553" width="21.69921875" style="63" customWidth="1"/>
    <col min="13554" max="13554" width="6.69921875" style="63" customWidth="1"/>
    <col min="13555" max="13555" width="10.8984375" style="63" customWidth="1"/>
    <col min="13556" max="13565" width="9.8984375" style="63"/>
    <col min="13566" max="13566" width="3" style="63" customWidth="1"/>
    <col min="13567" max="13567" width="25.3984375" style="63" customWidth="1"/>
    <col min="13568" max="13570" width="14.296875" style="63" customWidth="1"/>
    <col min="13571" max="13571" width="13.19921875" style="63" customWidth="1"/>
    <col min="13572" max="13572" width="10.3984375" style="63" customWidth="1"/>
    <col min="13573" max="13807" width="6.69921875" style="63" customWidth="1"/>
    <col min="13808" max="13808" width="4.19921875" style="63" customWidth="1"/>
    <col min="13809" max="13809" width="21.69921875" style="63" customWidth="1"/>
    <col min="13810" max="13810" width="6.69921875" style="63" customWidth="1"/>
    <col min="13811" max="13811" width="10.8984375" style="63" customWidth="1"/>
    <col min="13812" max="13821" width="9.8984375" style="63"/>
    <col min="13822" max="13822" width="3" style="63" customWidth="1"/>
    <col min="13823" max="13823" width="25.3984375" style="63" customWidth="1"/>
    <col min="13824" max="13826" width="14.296875" style="63" customWidth="1"/>
    <col min="13827" max="13827" width="13.19921875" style="63" customWidth="1"/>
    <col min="13828" max="13828" width="10.3984375" style="63" customWidth="1"/>
    <col min="13829" max="14063" width="6.69921875" style="63" customWidth="1"/>
    <col min="14064" max="14064" width="4.19921875" style="63" customWidth="1"/>
    <col min="14065" max="14065" width="21.69921875" style="63" customWidth="1"/>
    <col min="14066" max="14066" width="6.69921875" style="63" customWidth="1"/>
    <col min="14067" max="14067" width="10.8984375" style="63" customWidth="1"/>
    <col min="14068" max="14077" width="9.8984375" style="63"/>
    <col min="14078" max="14078" width="3" style="63" customWidth="1"/>
    <col min="14079" max="14079" width="25.3984375" style="63" customWidth="1"/>
    <col min="14080" max="14082" width="14.296875" style="63" customWidth="1"/>
    <col min="14083" max="14083" width="13.19921875" style="63" customWidth="1"/>
    <col min="14084" max="14084" width="10.3984375" style="63" customWidth="1"/>
    <col min="14085" max="14319" width="6.69921875" style="63" customWidth="1"/>
    <col min="14320" max="14320" width="4.19921875" style="63" customWidth="1"/>
    <col min="14321" max="14321" width="21.69921875" style="63" customWidth="1"/>
    <col min="14322" max="14322" width="6.69921875" style="63" customWidth="1"/>
    <col min="14323" max="14323" width="10.8984375" style="63" customWidth="1"/>
    <col min="14324" max="14333" width="9.8984375" style="63"/>
    <col min="14334" max="14334" width="3" style="63" customWidth="1"/>
    <col min="14335" max="14335" width="25.3984375" style="63" customWidth="1"/>
    <col min="14336" max="14338" width="14.296875" style="63" customWidth="1"/>
    <col min="14339" max="14339" width="13.19921875" style="63" customWidth="1"/>
    <col min="14340" max="14340" width="10.3984375" style="63" customWidth="1"/>
    <col min="14341" max="14575" width="6.69921875" style="63" customWidth="1"/>
    <col min="14576" max="14576" width="4.19921875" style="63" customWidth="1"/>
    <col min="14577" max="14577" width="21.69921875" style="63" customWidth="1"/>
    <col min="14578" max="14578" width="6.69921875" style="63" customWidth="1"/>
    <col min="14579" max="14579" width="10.8984375" style="63" customWidth="1"/>
    <col min="14580" max="14589" width="9.8984375" style="63"/>
    <col min="14590" max="14590" width="3" style="63" customWidth="1"/>
    <col min="14591" max="14591" width="25.3984375" style="63" customWidth="1"/>
    <col min="14592" max="14594" width="14.296875" style="63" customWidth="1"/>
    <col min="14595" max="14595" width="13.19921875" style="63" customWidth="1"/>
    <col min="14596" max="14596" width="10.3984375" style="63" customWidth="1"/>
    <col min="14597" max="14831" width="6.69921875" style="63" customWidth="1"/>
    <col min="14832" max="14832" width="4.19921875" style="63" customWidth="1"/>
    <col min="14833" max="14833" width="21.69921875" style="63" customWidth="1"/>
    <col min="14834" max="14834" width="6.69921875" style="63" customWidth="1"/>
    <col min="14835" max="14835" width="10.8984375" style="63" customWidth="1"/>
    <col min="14836" max="14845" width="9.8984375" style="63"/>
    <col min="14846" max="14846" width="3" style="63" customWidth="1"/>
    <col min="14847" max="14847" width="25.3984375" style="63" customWidth="1"/>
    <col min="14848" max="14850" width="14.296875" style="63" customWidth="1"/>
    <col min="14851" max="14851" width="13.19921875" style="63" customWidth="1"/>
    <col min="14852" max="14852" width="10.3984375" style="63" customWidth="1"/>
    <col min="14853" max="15087" width="6.69921875" style="63" customWidth="1"/>
    <col min="15088" max="15088" width="4.19921875" style="63" customWidth="1"/>
    <col min="15089" max="15089" width="21.69921875" style="63" customWidth="1"/>
    <col min="15090" max="15090" width="6.69921875" style="63" customWidth="1"/>
    <col min="15091" max="15091" width="10.8984375" style="63" customWidth="1"/>
    <col min="15092" max="15101" width="9.8984375" style="63"/>
    <col min="15102" max="15102" width="3" style="63" customWidth="1"/>
    <col min="15103" max="15103" width="25.3984375" style="63" customWidth="1"/>
    <col min="15104" max="15106" width="14.296875" style="63" customWidth="1"/>
    <col min="15107" max="15107" width="13.19921875" style="63" customWidth="1"/>
    <col min="15108" max="15108" width="10.3984375" style="63" customWidth="1"/>
    <col min="15109" max="15343" width="6.69921875" style="63" customWidth="1"/>
    <col min="15344" max="15344" width="4.19921875" style="63" customWidth="1"/>
    <col min="15345" max="15345" width="21.69921875" style="63" customWidth="1"/>
    <col min="15346" max="15346" width="6.69921875" style="63" customWidth="1"/>
    <col min="15347" max="15347" width="10.8984375" style="63" customWidth="1"/>
    <col min="15348" max="15357" width="9.8984375" style="63"/>
    <col min="15358" max="15358" width="3" style="63" customWidth="1"/>
    <col min="15359" max="15359" width="25.3984375" style="63" customWidth="1"/>
    <col min="15360" max="15362" width="14.296875" style="63" customWidth="1"/>
    <col min="15363" max="15363" width="13.19921875" style="63" customWidth="1"/>
    <col min="15364" max="15364" width="10.3984375" style="63" customWidth="1"/>
    <col min="15365" max="15599" width="6.69921875" style="63" customWidth="1"/>
    <col min="15600" max="15600" width="4.19921875" style="63" customWidth="1"/>
    <col min="15601" max="15601" width="21.69921875" style="63" customWidth="1"/>
    <col min="15602" max="15602" width="6.69921875" style="63" customWidth="1"/>
    <col min="15603" max="15603" width="10.8984375" style="63" customWidth="1"/>
    <col min="15604" max="15613" width="9.8984375" style="63"/>
    <col min="15614" max="15614" width="3" style="63" customWidth="1"/>
    <col min="15615" max="15615" width="25.3984375" style="63" customWidth="1"/>
    <col min="15616" max="15618" width="14.296875" style="63" customWidth="1"/>
    <col min="15619" max="15619" width="13.19921875" style="63" customWidth="1"/>
    <col min="15620" max="15620" width="10.3984375" style="63" customWidth="1"/>
    <col min="15621" max="15855" width="6.69921875" style="63" customWidth="1"/>
    <col min="15856" max="15856" width="4.19921875" style="63" customWidth="1"/>
    <col min="15857" max="15857" width="21.69921875" style="63" customWidth="1"/>
    <col min="15858" max="15858" width="6.69921875" style="63" customWidth="1"/>
    <col min="15859" max="15859" width="10.8984375" style="63" customWidth="1"/>
    <col min="15860" max="15869" width="9.8984375" style="63"/>
    <col min="15870" max="15870" width="3" style="63" customWidth="1"/>
    <col min="15871" max="15871" width="25.3984375" style="63" customWidth="1"/>
    <col min="15872" max="15874" width="14.296875" style="63" customWidth="1"/>
    <col min="15875" max="15875" width="13.19921875" style="63" customWidth="1"/>
    <col min="15876" max="15876" width="10.3984375" style="63" customWidth="1"/>
    <col min="15877" max="16111" width="6.69921875" style="63" customWidth="1"/>
    <col min="16112" max="16112" width="4.19921875" style="63" customWidth="1"/>
    <col min="16113" max="16113" width="21.69921875" style="63" customWidth="1"/>
    <col min="16114" max="16114" width="6.69921875" style="63" customWidth="1"/>
    <col min="16115" max="16115" width="10.8984375" style="63" customWidth="1"/>
    <col min="16116" max="16125" width="9.8984375" style="63"/>
    <col min="16126" max="16126" width="3" style="63" customWidth="1"/>
    <col min="16127" max="16127" width="25.3984375" style="63" customWidth="1"/>
    <col min="16128" max="16130" width="14.296875" style="63" customWidth="1"/>
    <col min="16131" max="16131" width="13.19921875" style="63" customWidth="1"/>
    <col min="16132" max="16132" width="10.3984375" style="63" customWidth="1"/>
    <col min="16133" max="16367" width="6.69921875" style="63" customWidth="1"/>
    <col min="16368" max="16368" width="4.19921875" style="63" customWidth="1"/>
    <col min="16369" max="16369" width="21.69921875" style="63" customWidth="1"/>
    <col min="16370" max="16370" width="6.69921875" style="63" customWidth="1"/>
    <col min="16371" max="16371" width="10.8984375" style="63" customWidth="1"/>
    <col min="16372" max="16384" width="9.8984375" style="63"/>
  </cols>
  <sheetData>
    <row r="1" spans="1:10" x14ac:dyDescent="0.25">
      <c r="G1" s="556" t="s">
        <v>237</v>
      </c>
    </row>
    <row r="2" spans="1:10" ht="42.75" customHeight="1" x14ac:dyDescent="0.25">
      <c r="A2" s="694" t="s">
        <v>980</v>
      </c>
      <c r="B2" s="695"/>
      <c r="C2" s="695"/>
      <c r="D2" s="695"/>
      <c r="E2" s="695"/>
      <c r="F2" s="695"/>
      <c r="G2" s="695"/>
    </row>
    <row r="3" spans="1:10" x14ac:dyDescent="0.25">
      <c r="F3" s="555"/>
      <c r="G3" s="557" t="s">
        <v>20</v>
      </c>
    </row>
    <row r="4" spans="1:10" ht="33" x14ac:dyDescent="0.25">
      <c r="A4" s="58" t="s">
        <v>6</v>
      </c>
      <c r="B4" s="104" t="s">
        <v>0</v>
      </c>
      <c r="C4" s="558" t="s">
        <v>395</v>
      </c>
      <c r="D4" s="104" t="s">
        <v>238</v>
      </c>
      <c r="E4" s="104" t="s">
        <v>358</v>
      </c>
      <c r="F4" s="104" t="s">
        <v>359</v>
      </c>
      <c r="G4" s="104" t="s">
        <v>239</v>
      </c>
    </row>
    <row r="5" spans="1:10" x14ac:dyDescent="0.25">
      <c r="A5" s="559" t="s">
        <v>15</v>
      </c>
      <c r="B5" s="559" t="s">
        <v>16</v>
      </c>
      <c r="C5" s="560" t="s">
        <v>360</v>
      </c>
      <c r="D5" s="559">
        <v>2</v>
      </c>
      <c r="E5" s="559">
        <v>3</v>
      </c>
      <c r="F5" s="559">
        <v>4</v>
      </c>
      <c r="G5" s="559" t="s">
        <v>14</v>
      </c>
    </row>
    <row r="6" spans="1:10" x14ac:dyDescent="0.25">
      <c r="A6" s="559"/>
      <c r="B6" s="561" t="s">
        <v>1145</v>
      </c>
      <c r="C6" s="105">
        <f>C7+C11+C28+C44+C86+C261</f>
        <v>23189741445.200001</v>
      </c>
      <c r="D6" s="105">
        <f>D7+D11+D28+D44+D86+D261</f>
        <v>13918312138.200001</v>
      </c>
      <c r="E6" s="105">
        <f>E7+E11+E28+E44+E86+E261</f>
        <v>4862935407</v>
      </c>
      <c r="F6" s="105">
        <f>F7+F11+F28+F44+F86+F261</f>
        <v>4408493900</v>
      </c>
      <c r="G6" s="562"/>
      <c r="H6" s="563"/>
      <c r="I6" s="563"/>
      <c r="J6" s="563"/>
    </row>
    <row r="7" spans="1:10" s="567" customFormat="1" ht="33" x14ac:dyDescent="0.3">
      <c r="A7" s="104" t="s">
        <v>5</v>
      </c>
      <c r="B7" s="58" t="s">
        <v>362</v>
      </c>
      <c r="C7" s="564">
        <f>SUM(C8:C10)</f>
        <v>13374465597.200001</v>
      </c>
      <c r="D7" s="564">
        <f>SUM(D8:D10)</f>
        <v>7884938954.1999998</v>
      </c>
      <c r="E7" s="564">
        <f>SUM(E8:E10)</f>
        <v>3774854443</v>
      </c>
      <c r="F7" s="564">
        <f>SUM(F8:F10)</f>
        <v>1714672200</v>
      </c>
      <c r="G7" s="565"/>
      <c r="H7" s="566"/>
      <c r="I7" s="566"/>
      <c r="J7" s="566"/>
    </row>
    <row r="8" spans="1:10" ht="90.75" customHeight="1" x14ac:dyDescent="0.25">
      <c r="A8" s="49">
        <v>1</v>
      </c>
      <c r="B8" s="48" t="s">
        <v>1056</v>
      </c>
      <c r="C8" s="66">
        <f>D8+E8+F8</f>
        <v>7884938954.1999998</v>
      </c>
      <c r="D8" s="62">
        <f>'Bieu 03.1'!O8+'Bieu 03.1'!O61</f>
        <v>7884938954.1999998</v>
      </c>
      <c r="E8" s="62"/>
      <c r="F8" s="62"/>
      <c r="G8" s="691" t="s">
        <v>240</v>
      </c>
      <c r="H8" s="563"/>
    </row>
    <row r="9" spans="1:10" ht="94.5" customHeight="1" x14ac:dyDescent="0.25">
      <c r="A9" s="49">
        <v>2</v>
      </c>
      <c r="B9" s="48" t="s">
        <v>1057</v>
      </c>
      <c r="C9" s="66">
        <f>D9+E9+F9</f>
        <v>3774854443</v>
      </c>
      <c r="D9" s="62"/>
      <c r="E9" s="62">
        <f>'Bieu 03.1'!P153</f>
        <v>3774854443</v>
      </c>
      <c r="F9" s="62"/>
      <c r="G9" s="692"/>
    </row>
    <row r="10" spans="1:10" ht="73.5" customHeight="1" x14ac:dyDescent="0.25">
      <c r="A10" s="49">
        <v>3</v>
      </c>
      <c r="B10" s="48" t="s">
        <v>1099</v>
      </c>
      <c r="C10" s="66">
        <f>D10+E10+F10</f>
        <v>1714672200</v>
      </c>
      <c r="D10" s="62"/>
      <c r="E10" s="62"/>
      <c r="F10" s="62">
        <f>'Bieu 03.1'!Q153</f>
        <v>1714672200</v>
      </c>
      <c r="G10" s="693"/>
    </row>
    <row r="11" spans="1:10" s="107" customFormat="1" ht="33" x14ac:dyDescent="0.25">
      <c r="A11" s="104" t="s">
        <v>1</v>
      </c>
      <c r="B11" s="58" t="s">
        <v>271</v>
      </c>
      <c r="C11" s="564">
        <f>SUM(C14:C27)</f>
        <v>2128600000</v>
      </c>
      <c r="D11" s="564">
        <f>SUM(D14:D27)</f>
        <v>1567600000</v>
      </c>
      <c r="E11" s="564">
        <f>SUM(E14:E27)</f>
        <v>411000000</v>
      </c>
      <c r="F11" s="564">
        <f>SUM(F14:F27)</f>
        <v>150000000</v>
      </c>
      <c r="G11" s="106"/>
    </row>
    <row r="12" spans="1:10" s="107" customFormat="1" x14ac:dyDescent="0.25">
      <c r="A12" s="104"/>
      <c r="B12" s="58" t="s">
        <v>230</v>
      </c>
      <c r="C12" s="550"/>
      <c r="D12" s="550"/>
      <c r="E12" s="550"/>
      <c r="F12" s="550"/>
      <c r="G12" s="106"/>
    </row>
    <row r="13" spans="1:10" x14ac:dyDescent="0.25">
      <c r="A13" s="49">
        <v>1</v>
      </c>
      <c r="B13" s="48" t="s">
        <v>1155</v>
      </c>
      <c r="C13" s="568">
        <f>C14+C15</f>
        <v>1620000000</v>
      </c>
      <c r="D13" s="568">
        <f>D14+D15</f>
        <v>1170000000</v>
      </c>
      <c r="E13" s="568">
        <f>E14+E15</f>
        <v>300000000</v>
      </c>
      <c r="F13" s="568">
        <f>F14+F15</f>
        <v>150000000</v>
      </c>
      <c r="G13" s="103"/>
    </row>
    <row r="14" spans="1:10" ht="24.75" customHeight="1" x14ac:dyDescent="0.25">
      <c r="A14" s="49"/>
      <c r="B14" s="98" t="s">
        <v>1152</v>
      </c>
      <c r="C14" s="100">
        <v>900000000</v>
      </c>
      <c r="D14" s="64">
        <v>650000000</v>
      </c>
      <c r="E14" s="64">
        <v>200000000</v>
      </c>
      <c r="F14" s="64">
        <v>50000000</v>
      </c>
      <c r="G14" s="65"/>
      <c r="H14" s="563"/>
    </row>
    <row r="15" spans="1:10" x14ac:dyDescent="0.25">
      <c r="A15" s="49"/>
      <c r="B15" s="98" t="s">
        <v>1153</v>
      </c>
      <c r="C15" s="100">
        <v>720000000</v>
      </c>
      <c r="D15" s="64">
        <v>520000000</v>
      </c>
      <c r="E15" s="64">
        <v>100000000</v>
      </c>
      <c r="F15" s="64">
        <v>100000000</v>
      </c>
      <c r="G15" s="65"/>
    </row>
    <row r="16" spans="1:10" x14ac:dyDescent="0.25">
      <c r="A16" s="49">
        <f>A13+1</f>
        <v>2</v>
      </c>
      <c r="B16" s="48" t="s">
        <v>300</v>
      </c>
      <c r="C16" s="569">
        <f>D16+F16+E16</f>
        <v>36000000</v>
      </c>
      <c r="D16" s="62">
        <v>36000000</v>
      </c>
      <c r="E16" s="62"/>
      <c r="F16" s="62"/>
      <c r="G16" s="65"/>
    </row>
    <row r="17" spans="1:7" x14ac:dyDescent="0.25">
      <c r="A17" s="49">
        <f>A16+1</f>
        <v>3</v>
      </c>
      <c r="B17" s="48" t="s">
        <v>357</v>
      </c>
      <c r="C17" s="569">
        <f>D17+F17+E17</f>
        <v>156000000</v>
      </c>
      <c r="D17" s="62">
        <v>100000000</v>
      </c>
      <c r="E17" s="62">
        <v>56000000</v>
      </c>
      <c r="F17" s="62"/>
      <c r="G17" s="65"/>
    </row>
    <row r="18" spans="1:7" ht="33" x14ac:dyDescent="0.25">
      <c r="A18" s="49">
        <f t="shared" ref="A18:A27" si="0">A17+1</f>
        <v>4</v>
      </c>
      <c r="B18" s="655" t="s">
        <v>430</v>
      </c>
      <c r="C18" s="66">
        <f t="shared" ref="C18:C23" si="1">D18+F18+E18</f>
        <v>40000000</v>
      </c>
      <c r="D18" s="62">
        <v>40000000</v>
      </c>
      <c r="E18" s="62"/>
      <c r="F18" s="62"/>
      <c r="G18" s="65"/>
    </row>
    <row r="19" spans="1:7" x14ac:dyDescent="0.25">
      <c r="A19" s="49">
        <f t="shared" si="0"/>
        <v>5</v>
      </c>
      <c r="B19" s="655" t="s">
        <v>299</v>
      </c>
      <c r="C19" s="66">
        <f t="shared" si="1"/>
        <v>21600000</v>
      </c>
      <c r="D19" s="62">
        <v>21600000</v>
      </c>
      <c r="E19" s="62"/>
      <c r="F19" s="62"/>
      <c r="G19" s="65"/>
    </row>
    <row r="20" spans="1:7" ht="39.75" customHeight="1" x14ac:dyDescent="0.25">
      <c r="A20" s="49">
        <f t="shared" si="0"/>
        <v>6</v>
      </c>
      <c r="B20" s="48" t="s">
        <v>1063</v>
      </c>
      <c r="C20" s="66">
        <f t="shared" si="1"/>
        <v>40000000</v>
      </c>
      <c r="D20" s="62">
        <v>20000000</v>
      </c>
      <c r="E20" s="62">
        <v>20000000</v>
      </c>
      <c r="F20" s="62"/>
      <c r="G20" s="65"/>
    </row>
    <row r="21" spans="1:7" ht="39" customHeight="1" x14ac:dyDescent="0.25">
      <c r="A21" s="49">
        <f t="shared" si="0"/>
        <v>7</v>
      </c>
      <c r="B21" s="48" t="s">
        <v>361</v>
      </c>
      <c r="C21" s="66">
        <f t="shared" si="1"/>
        <v>50000000</v>
      </c>
      <c r="D21" s="62">
        <v>50000000</v>
      </c>
      <c r="E21" s="62"/>
      <c r="F21" s="62"/>
      <c r="G21" s="65"/>
    </row>
    <row r="22" spans="1:7" x14ac:dyDescent="0.25">
      <c r="A22" s="49">
        <f t="shared" si="0"/>
        <v>8</v>
      </c>
      <c r="B22" s="48" t="s">
        <v>1100</v>
      </c>
      <c r="C22" s="66">
        <f t="shared" si="1"/>
        <v>50000000</v>
      </c>
      <c r="D22" s="62">
        <v>50000000</v>
      </c>
      <c r="E22" s="62"/>
      <c r="F22" s="62"/>
      <c r="G22" s="65"/>
    </row>
    <row r="23" spans="1:7" x14ac:dyDescent="0.25">
      <c r="A23" s="49">
        <f t="shared" si="0"/>
        <v>9</v>
      </c>
      <c r="B23" s="48" t="s">
        <v>244</v>
      </c>
      <c r="C23" s="66">
        <f t="shared" si="1"/>
        <v>5000000</v>
      </c>
      <c r="D23" s="62"/>
      <c r="E23" s="62">
        <v>5000000</v>
      </c>
      <c r="F23" s="62"/>
      <c r="G23" s="65"/>
    </row>
    <row r="24" spans="1:7" ht="33" x14ac:dyDescent="0.25">
      <c r="A24" s="49">
        <f t="shared" si="0"/>
        <v>10</v>
      </c>
      <c r="B24" s="48" t="s">
        <v>366</v>
      </c>
      <c r="C24" s="62">
        <f t="shared" ref="C24:C27" si="2">D24+E24+F24</f>
        <v>30000000</v>
      </c>
      <c r="D24" s="570">
        <v>20000000</v>
      </c>
      <c r="E24" s="570">
        <v>10000000</v>
      </c>
      <c r="F24" s="570"/>
      <c r="G24" s="65"/>
    </row>
    <row r="25" spans="1:7" ht="40.5" customHeight="1" x14ac:dyDescent="0.25">
      <c r="A25" s="49">
        <f t="shared" si="0"/>
        <v>11</v>
      </c>
      <c r="B25" s="48" t="s">
        <v>1020</v>
      </c>
      <c r="C25" s="62">
        <f t="shared" si="2"/>
        <v>25000000</v>
      </c>
      <c r="D25" s="570">
        <v>15000000</v>
      </c>
      <c r="E25" s="570">
        <v>10000000</v>
      </c>
      <c r="F25" s="570"/>
      <c r="G25" s="65"/>
    </row>
    <row r="26" spans="1:7" ht="43.5" customHeight="1" x14ac:dyDescent="0.25">
      <c r="A26" s="49">
        <f t="shared" si="0"/>
        <v>12</v>
      </c>
      <c r="B26" s="48" t="s">
        <v>1021</v>
      </c>
      <c r="C26" s="62">
        <f t="shared" si="2"/>
        <v>15000000</v>
      </c>
      <c r="D26" s="570">
        <v>5000000</v>
      </c>
      <c r="E26" s="570">
        <v>10000000</v>
      </c>
      <c r="F26" s="570"/>
      <c r="G26" s="65"/>
    </row>
    <row r="27" spans="1:7" ht="39" customHeight="1" x14ac:dyDescent="0.25">
      <c r="A27" s="49">
        <f t="shared" si="0"/>
        <v>13</v>
      </c>
      <c r="B27" s="48" t="s">
        <v>1022</v>
      </c>
      <c r="C27" s="62">
        <f t="shared" si="2"/>
        <v>40000000</v>
      </c>
      <c r="D27" s="62">
        <v>40000000</v>
      </c>
      <c r="E27" s="571"/>
      <c r="F27" s="571"/>
      <c r="G27" s="65"/>
    </row>
    <row r="28" spans="1:7" s="107" customFormat="1" ht="49.5" x14ac:dyDescent="0.25">
      <c r="A28" s="104" t="s">
        <v>3</v>
      </c>
      <c r="B28" s="58" t="s">
        <v>273</v>
      </c>
      <c r="C28" s="105">
        <f>SUM(C29:C33)+C34+C39</f>
        <v>1099000000</v>
      </c>
      <c r="D28" s="105">
        <f>SUM(D29:D33)+D34+D39</f>
        <v>746000000</v>
      </c>
      <c r="E28" s="105">
        <f>SUM(E29:E33)+E34+E39</f>
        <v>183000000</v>
      </c>
      <c r="F28" s="105">
        <f>SUM(F29:F33)+F34+F39</f>
        <v>170000000</v>
      </c>
      <c r="G28" s="106"/>
    </row>
    <row r="29" spans="1:7" ht="33" x14ac:dyDescent="0.25">
      <c r="A29" s="49">
        <v>1</v>
      </c>
      <c r="B29" s="48" t="s">
        <v>275</v>
      </c>
      <c r="C29" s="66">
        <f>D29+F29+E29</f>
        <v>90000000</v>
      </c>
      <c r="D29" s="62">
        <v>50000000</v>
      </c>
      <c r="E29" s="62">
        <v>10000000</v>
      </c>
      <c r="F29" s="62">
        <v>30000000</v>
      </c>
      <c r="G29" s="65"/>
    </row>
    <row r="30" spans="1:7" x14ac:dyDescent="0.25">
      <c r="A30" s="49">
        <f>A29+1</f>
        <v>2</v>
      </c>
      <c r="B30" s="48" t="s">
        <v>278</v>
      </c>
      <c r="C30" s="66">
        <f>D30+F30+E30</f>
        <v>80000000</v>
      </c>
      <c r="D30" s="62">
        <v>50000000</v>
      </c>
      <c r="E30" s="62">
        <v>30000000</v>
      </c>
      <c r="F30" s="62"/>
      <c r="G30" s="65"/>
    </row>
    <row r="31" spans="1:7" ht="33" x14ac:dyDescent="0.25">
      <c r="A31" s="49">
        <f>A30+1</f>
        <v>3</v>
      </c>
      <c r="B31" s="48" t="s">
        <v>364</v>
      </c>
      <c r="C31" s="66">
        <f>D31+F31+E31</f>
        <v>72000000</v>
      </c>
      <c r="D31" s="62">
        <v>70000000</v>
      </c>
      <c r="E31" s="62">
        <v>2000000</v>
      </c>
      <c r="F31" s="62"/>
      <c r="G31" s="65"/>
    </row>
    <row r="32" spans="1:7" ht="33" x14ac:dyDescent="0.25">
      <c r="A32" s="49">
        <f>A31+1</f>
        <v>4</v>
      </c>
      <c r="B32" s="48" t="s">
        <v>1067</v>
      </c>
      <c r="C32" s="66">
        <f>D32+F32+E32</f>
        <v>170000000</v>
      </c>
      <c r="D32" s="62">
        <v>120000000</v>
      </c>
      <c r="E32" s="62">
        <v>50000000</v>
      </c>
      <c r="F32" s="62"/>
      <c r="G32" s="65"/>
    </row>
    <row r="33" spans="1:7" ht="33" x14ac:dyDescent="0.25">
      <c r="A33" s="49">
        <f>A32+1</f>
        <v>5</v>
      </c>
      <c r="B33" s="48" t="s">
        <v>285</v>
      </c>
      <c r="C33" s="66">
        <f>D33+F33+E33</f>
        <v>120000000</v>
      </c>
      <c r="D33" s="62">
        <v>80000000</v>
      </c>
      <c r="E33" s="62"/>
      <c r="F33" s="62">
        <v>40000000</v>
      </c>
      <c r="G33" s="65"/>
    </row>
    <row r="34" spans="1:7" ht="33" x14ac:dyDescent="0.25">
      <c r="A34" s="49">
        <v>6</v>
      </c>
      <c r="B34" s="48" t="s">
        <v>1101</v>
      </c>
      <c r="C34" s="130">
        <f>SUM(C35:C38)</f>
        <v>307000000</v>
      </c>
      <c r="D34" s="130">
        <f>SUM(D35:D38)</f>
        <v>266000000</v>
      </c>
      <c r="E34" s="130">
        <f>SUM(E35:E38)</f>
        <v>41000000</v>
      </c>
      <c r="F34" s="130">
        <f>SUM(F35:F38)</f>
        <v>0</v>
      </c>
      <c r="G34" s="65"/>
    </row>
    <row r="35" spans="1:7" s="99" customFormat="1" ht="33" x14ac:dyDescent="0.25">
      <c r="A35" s="97"/>
      <c r="B35" s="98" t="s">
        <v>434</v>
      </c>
      <c r="C35" s="131">
        <f>D35+E35+F35</f>
        <v>150000000</v>
      </c>
      <c r="D35" s="64">
        <v>150000000</v>
      </c>
      <c r="E35" s="64"/>
      <c r="F35" s="64"/>
      <c r="G35" s="101"/>
    </row>
    <row r="36" spans="1:7" s="99" customFormat="1" ht="33" x14ac:dyDescent="0.25">
      <c r="A36" s="97"/>
      <c r="B36" s="98" t="s">
        <v>431</v>
      </c>
      <c r="C36" s="131">
        <f>D36+E36+F36</f>
        <v>56000000</v>
      </c>
      <c r="D36" s="64">
        <v>56000000</v>
      </c>
      <c r="E36" s="64"/>
      <c r="F36" s="64"/>
      <c r="G36" s="101"/>
    </row>
    <row r="37" spans="1:7" s="99" customFormat="1" x14ac:dyDescent="0.25">
      <c r="A37" s="97"/>
      <c r="B37" s="98" t="s">
        <v>433</v>
      </c>
      <c r="C37" s="131">
        <f>D37+E37+F37</f>
        <v>60000000</v>
      </c>
      <c r="D37" s="64">
        <v>60000000</v>
      </c>
      <c r="E37" s="64"/>
      <c r="F37" s="64"/>
      <c r="G37" s="101"/>
    </row>
    <row r="38" spans="1:7" s="99" customFormat="1" ht="33" x14ac:dyDescent="0.25">
      <c r="A38" s="97"/>
      <c r="B38" s="98" t="s">
        <v>432</v>
      </c>
      <c r="C38" s="131">
        <f>D38+E38+F38</f>
        <v>41000000</v>
      </c>
      <c r="E38" s="64">
        <v>41000000</v>
      </c>
      <c r="F38" s="64"/>
      <c r="G38" s="101"/>
    </row>
    <row r="39" spans="1:7" x14ac:dyDescent="0.25">
      <c r="A39" s="49">
        <v>7</v>
      </c>
      <c r="B39" s="48" t="s">
        <v>341</v>
      </c>
      <c r="C39" s="130">
        <f>SUM(C40:C43)</f>
        <v>260000000</v>
      </c>
      <c r="D39" s="130">
        <f>SUM(D40:D43)</f>
        <v>110000000</v>
      </c>
      <c r="E39" s="130">
        <f>SUM(E40:E43)</f>
        <v>50000000</v>
      </c>
      <c r="F39" s="589">
        <f>SUM(F40:F43)</f>
        <v>100000000</v>
      </c>
      <c r="G39" s="65"/>
    </row>
    <row r="40" spans="1:7" s="99" customFormat="1" ht="33" x14ac:dyDescent="0.25">
      <c r="A40" s="97"/>
      <c r="B40" s="98" t="s">
        <v>436</v>
      </c>
      <c r="C40" s="131">
        <f>D40+E40+F40</f>
        <v>50000000</v>
      </c>
      <c r="D40" s="64"/>
      <c r="E40" s="64">
        <v>50000000</v>
      </c>
      <c r="F40" s="64"/>
      <c r="G40" s="101"/>
    </row>
    <row r="41" spans="1:7" s="99" customFormat="1" x14ac:dyDescent="0.25">
      <c r="A41" s="97"/>
      <c r="B41" s="98" t="s">
        <v>435</v>
      </c>
      <c r="C41" s="131">
        <f>D41+E41+F41</f>
        <v>110000000</v>
      </c>
      <c r="D41" s="64">
        <v>60000000</v>
      </c>
      <c r="E41" s="64"/>
      <c r="F41" s="64">
        <v>50000000</v>
      </c>
      <c r="G41" s="101"/>
    </row>
    <row r="42" spans="1:7" s="99" customFormat="1" ht="33" x14ac:dyDescent="0.25">
      <c r="A42" s="97"/>
      <c r="B42" s="98" t="s">
        <v>342</v>
      </c>
      <c r="C42" s="131">
        <f>D42+E42+F42</f>
        <v>50000000</v>
      </c>
      <c r="D42" s="64">
        <v>50000000</v>
      </c>
      <c r="E42" s="64"/>
      <c r="F42" s="64"/>
      <c r="G42" s="101"/>
    </row>
    <row r="43" spans="1:7" s="99" customFormat="1" ht="33" x14ac:dyDescent="0.25">
      <c r="A43" s="97"/>
      <c r="B43" s="98" t="s">
        <v>343</v>
      </c>
      <c r="C43" s="131">
        <f>D43+E43+F43</f>
        <v>50000000</v>
      </c>
      <c r="D43" s="64"/>
      <c r="E43" s="64"/>
      <c r="F43" s="64">
        <v>50000000</v>
      </c>
      <c r="G43" s="101"/>
    </row>
    <row r="44" spans="1:7" s="107" customFormat="1" ht="33" x14ac:dyDescent="0.25">
      <c r="A44" s="104" t="s">
        <v>23</v>
      </c>
      <c r="B44" s="58" t="s">
        <v>276</v>
      </c>
      <c r="C44" s="105">
        <f>SUM(C45:C49)</f>
        <v>1954561016</v>
      </c>
      <c r="D44" s="105">
        <f>SUM(D45:D49)</f>
        <v>351000000</v>
      </c>
      <c r="E44" s="105">
        <f t="shared" ref="E44:F44" si="3">SUM(E45:E49)</f>
        <v>40000000</v>
      </c>
      <c r="F44" s="105">
        <f t="shared" si="3"/>
        <v>1563561016</v>
      </c>
      <c r="G44" s="105">
        <f>SUM(G45:G58)</f>
        <v>0</v>
      </c>
    </row>
    <row r="45" spans="1:7" ht="33" x14ac:dyDescent="0.25">
      <c r="A45" s="49">
        <v>1</v>
      </c>
      <c r="B45" s="48" t="s">
        <v>437</v>
      </c>
      <c r="C45" s="66">
        <f>D45+F45+E45</f>
        <v>40000000</v>
      </c>
      <c r="D45" s="62"/>
      <c r="E45" s="62">
        <v>40000000</v>
      </c>
      <c r="F45" s="62"/>
      <c r="G45" s="65"/>
    </row>
    <row r="46" spans="1:7" ht="33" x14ac:dyDescent="0.25">
      <c r="A46" s="49">
        <v>2</v>
      </c>
      <c r="B46" s="48" t="s">
        <v>277</v>
      </c>
      <c r="C46" s="66">
        <f t="shared" ref="C46:C48" si="4">D46+F46+E46</f>
        <v>7000000</v>
      </c>
      <c r="D46" s="572"/>
      <c r="E46" s="62"/>
      <c r="F46" s="62">
        <v>7000000</v>
      </c>
      <c r="G46" s="65"/>
    </row>
    <row r="47" spans="1:7" x14ac:dyDescent="0.25">
      <c r="A47" s="49">
        <f>A46+1</f>
        <v>3</v>
      </c>
      <c r="B47" s="48" t="s">
        <v>26</v>
      </c>
      <c r="C47" s="66">
        <f t="shared" si="4"/>
        <v>6000000</v>
      </c>
      <c r="D47" s="572"/>
      <c r="E47" s="62"/>
      <c r="F47" s="62">
        <v>6000000</v>
      </c>
      <c r="G47" s="65"/>
    </row>
    <row r="48" spans="1:7" x14ac:dyDescent="0.25">
      <c r="A48" s="49">
        <f>A47+1</f>
        <v>4</v>
      </c>
      <c r="B48" s="48" t="s">
        <v>27</v>
      </c>
      <c r="C48" s="66">
        <f t="shared" si="4"/>
        <v>5000000</v>
      </c>
      <c r="D48" s="572"/>
      <c r="E48" s="62"/>
      <c r="F48" s="62">
        <v>5000000</v>
      </c>
      <c r="G48" s="65"/>
    </row>
    <row r="49" spans="1:8" s="656" customFormat="1" ht="18.75" x14ac:dyDescent="0.3">
      <c r="A49" s="89">
        <v>5</v>
      </c>
      <c r="B49" s="90" t="s">
        <v>1013</v>
      </c>
      <c r="C49" s="66">
        <f>C50+C58+C83</f>
        <v>1896561016</v>
      </c>
      <c r="D49" s="66">
        <f>D50+D58+D83</f>
        <v>351000000</v>
      </c>
      <c r="E49" s="66">
        <f t="shared" ref="E49:F49" si="5">E50+E58+E83</f>
        <v>0</v>
      </c>
      <c r="F49" s="66">
        <f t="shared" si="5"/>
        <v>1545561016</v>
      </c>
      <c r="G49" s="91"/>
    </row>
    <row r="50" spans="1:8" ht="37.5" x14ac:dyDescent="0.25">
      <c r="A50" s="49" t="s">
        <v>1079</v>
      </c>
      <c r="B50" s="657" t="s">
        <v>1018</v>
      </c>
      <c r="C50" s="66">
        <f t="shared" ref="C50" si="6">D50+F50+E50</f>
        <v>351000000</v>
      </c>
      <c r="D50" s="66">
        <f>SUM(D51:D57)</f>
        <v>351000000</v>
      </c>
      <c r="E50" s="66"/>
      <c r="F50" s="66">
        <f>SUM(F51:F57)</f>
        <v>0</v>
      </c>
      <c r="G50" s="66"/>
    </row>
    <row r="51" spans="1:8" s="99" customFormat="1" ht="33" x14ac:dyDescent="0.25">
      <c r="A51" s="97"/>
      <c r="B51" s="98" t="s">
        <v>1064</v>
      </c>
      <c r="C51" s="100">
        <f>D51+F51+E51</f>
        <v>30000000</v>
      </c>
      <c r="D51" s="64">
        <v>30000000</v>
      </c>
      <c r="E51" s="64"/>
      <c r="F51" s="64"/>
      <c r="G51" s="101"/>
    </row>
    <row r="52" spans="1:8" s="99" customFormat="1" ht="33" x14ac:dyDescent="0.25">
      <c r="A52" s="97"/>
      <c r="B52" s="98" t="s">
        <v>1065</v>
      </c>
      <c r="C52" s="100">
        <f t="shared" ref="C52:C57" si="7">D52+F52+E52</f>
        <v>180000000</v>
      </c>
      <c r="D52" s="64">
        <v>180000000</v>
      </c>
      <c r="E52" s="64"/>
      <c r="F52" s="64"/>
      <c r="G52" s="101"/>
    </row>
    <row r="53" spans="1:8" s="99" customFormat="1" ht="33" x14ac:dyDescent="0.25">
      <c r="A53" s="97"/>
      <c r="B53" s="98" t="s">
        <v>418</v>
      </c>
      <c r="C53" s="100">
        <f t="shared" si="7"/>
        <v>60000000</v>
      </c>
      <c r="D53" s="64">
        <v>60000000</v>
      </c>
      <c r="E53" s="64"/>
      <c r="F53" s="64"/>
      <c r="G53" s="101"/>
    </row>
    <row r="54" spans="1:8" s="99" customFormat="1" x14ac:dyDescent="0.25">
      <c r="A54" s="97"/>
      <c r="B54" s="98" t="s">
        <v>241</v>
      </c>
      <c r="C54" s="100">
        <f t="shared" si="7"/>
        <v>25000000</v>
      </c>
      <c r="D54" s="64">
        <v>25000000</v>
      </c>
      <c r="E54" s="64"/>
      <c r="F54" s="64"/>
      <c r="G54" s="101"/>
    </row>
    <row r="55" spans="1:8" s="99" customFormat="1" ht="33" x14ac:dyDescent="0.25">
      <c r="A55" s="97"/>
      <c r="B55" s="98" t="s">
        <v>242</v>
      </c>
      <c r="C55" s="100">
        <f t="shared" si="7"/>
        <v>25000000</v>
      </c>
      <c r="D55" s="64">
        <v>25000000</v>
      </c>
      <c r="E55" s="64"/>
      <c r="F55" s="64"/>
      <c r="G55" s="101"/>
    </row>
    <row r="56" spans="1:8" s="99" customFormat="1" ht="33" x14ac:dyDescent="0.25">
      <c r="A56" s="97"/>
      <c r="B56" s="98" t="s">
        <v>419</v>
      </c>
      <c r="C56" s="100">
        <f t="shared" si="7"/>
        <v>6000000</v>
      </c>
      <c r="D56" s="64">
        <v>6000000</v>
      </c>
      <c r="E56" s="64"/>
      <c r="F56" s="64"/>
      <c r="G56" s="101"/>
    </row>
    <row r="57" spans="1:8" s="99" customFormat="1" ht="33" x14ac:dyDescent="0.25">
      <c r="A57" s="97"/>
      <c r="B57" s="98" t="s">
        <v>281</v>
      </c>
      <c r="C57" s="100">
        <f t="shared" si="7"/>
        <v>25000000</v>
      </c>
      <c r="D57" s="64">
        <v>25000000</v>
      </c>
      <c r="E57" s="64"/>
      <c r="F57" s="64"/>
      <c r="G57" s="101"/>
    </row>
    <row r="58" spans="1:8" ht="33" x14ac:dyDescent="0.25">
      <c r="A58" s="49" t="s">
        <v>1080</v>
      </c>
      <c r="B58" s="48" t="s">
        <v>288</v>
      </c>
      <c r="C58" s="66">
        <f>C59+C69</f>
        <v>1386000000</v>
      </c>
      <c r="D58" s="66">
        <f>D59+D69</f>
        <v>0</v>
      </c>
      <c r="E58" s="66">
        <f>E59+E69</f>
        <v>0</v>
      </c>
      <c r="F58" s="66">
        <f>F59+F69</f>
        <v>1386000000</v>
      </c>
      <c r="G58" s="65"/>
      <c r="H58" s="563"/>
    </row>
    <row r="59" spans="1:8" x14ac:dyDescent="0.25">
      <c r="A59" s="573" t="s">
        <v>282</v>
      </c>
      <c r="B59" s="88" t="s">
        <v>1090</v>
      </c>
      <c r="C59" s="574">
        <f>SUM(C60:C68)</f>
        <v>906000000</v>
      </c>
      <c r="D59" s="574">
        <f>SUBTOTAL(9,D60:D68)</f>
        <v>0</v>
      </c>
      <c r="E59" s="574">
        <f>SUBTOTAL(9,E60:E68)</f>
        <v>0</v>
      </c>
      <c r="F59" s="574">
        <v>906000000</v>
      </c>
      <c r="G59" s="65"/>
      <c r="H59" s="563"/>
    </row>
    <row r="60" spans="1:8" x14ac:dyDescent="0.25">
      <c r="A60" s="573"/>
      <c r="B60" s="88" t="s">
        <v>41</v>
      </c>
      <c r="C60" s="574">
        <f>D60+E60+F60</f>
        <v>630000000</v>
      </c>
      <c r="D60" s="575"/>
      <c r="E60" s="575"/>
      <c r="F60" s="575">
        <v>630000000</v>
      </c>
      <c r="G60" s="65"/>
      <c r="H60" s="563"/>
    </row>
    <row r="61" spans="1:8" x14ac:dyDescent="0.25">
      <c r="A61" s="573"/>
      <c r="B61" s="88" t="s">
        <v>42</v>
      </c>
      <c r="C61" s="574">
        <f t="shared" ref="C61:C68" si="8">D61+E61+F61</f>
        <v>140000000</v>
      </c>
      <c r="D61" s="575"/>
      <c r="E61" s="575"/>
      <c r="F61" s="575">
        <v>140000000</v>
      </c>
      <c r="G61" s="65"/>
      <c r="H61" s="563"/>
    </row>
    <row r="62" spans="1:8" x14ac:dyDescent="0.25">
      <c r="A62" s="573"/>
      <c r="B62" s="88" t="s">
        <v>43</v>
      </c>
      <c r="C62" s="574">
        <f t="shared" si="8"/>
        <v>24000000</v>
      </c>
      <c r="D62" s="575"/>
      <c r="E62" s="575"/>
      <c r="F62" s="575">
        <v>24000000</v>
      </c>
      <c r="G62" s="65"/>
      <c r="H62" s="563"/>
    </row>
    <row r="63" spans="1:8" x14ac:dyDescent="0.25">
      <c r="A63" s="573"/>
      <c r="B63" s="88" t="s">
        <v>256</v>
      </c>
      <c r="C63" s="574">
        <f t="shared" si="8"/>
        <v>40000000</v>
      </c>
      <c r="D63" s="575"/>
      <c r="E63" s="575"/>
      <c r="F63" s="575">
        <v>40000000</v>
      </c>
      <c r="G63" s="65"/>
      <c r="H63" s="563"/>
    </row>
    <row r="64" spans="1:8" x14ac:dyDescent="0.25">
      <c r="A64" s="573"/>
      <c r="B64" s="88" t="s">
        <v>45</v>
      </c>
      <c r="C64" s="574">
        <f t="shared" si="8"/>
        <v>6000000</v>
      </c>
      <c r="D64" s="575"/>
      <c r="E64" s="575"/>
      <c r="F64" s="575">
        <v>6000000</v>
      </c>
      <c r="G64" s="65"/>
      <c r="H64" s="563"/>
    </row>
    <row r="65" spans="1:8" x14ac:dyDescent="0.25">
      <c r="A65" s="573"/>
      <c r="B65" s="88" t="s">
        <v>257</v>
      </c>
      <c r="C65" s="574">
        <f t="shared" si="8"/>
        <v>24000000</v>
      </c>
      <c r="D65" s="575"/>
      <c r="E65" s="575"/>
      <c r="F65" s="575">
        <v>24000000</v>
      </c>
      <c r="G65" s="65"/>
      <c r="H65" s="563"/>
    </row>
    <row r="66" spans="1:8" x14ac:dyDescent="0.25">
      <c r="A66" s="573"/>
      <c r="B66" s="88" t="s">
        <v>48</v>
      </c>
      <c r="C66" s="574">
        <f t="shared" si="8"/>
        <v>6000000</v>
      </c>
      <c r="D66" s="575"/>
      <c r="E66" s="575"/>
      <c r="F66" s="575">
        <v>6000000</v>
      </c>
      <c r="G66" s="65"/>
      <c r="H66" s="563"/>
    </row>
    <row r="67" spans="1:8" x14ac:dyDescent="0.25">
      <c r="A67" s="573"/>
      <c r="B67" s="88" t="s">
        <v>258</v>
      </c>
      <c r="C67" s="574">
        <f t="shared" si="8"/>
        <v>30000000</v>
      </c>
      <c r="D67" s="575"/>
      <c r="E67" s="575"/>
      <c r="F67" s="575">
        <v>30000000</v>
      </c>
      <c r="G67" s="65"/>
      <c r="H67" s="563"/>
    </row>
    <row r="68" spans="1:8" x14ac:dyDescent="0.25">
      <c r="A68" s="573"/>
      <c r="B68" s="88" t="s">
        <v>259</v>
      </c>
      <c r="C68" s="574">
        <f t="shared" si="8"/>
        <v>6000000</v>
      </c>
      <c r="D68" s="575"/>
      <c r="E68" s="575"/>
      <c r="F68" s="575">
        <v>6000000</v>
      </c>
      <c r="G68" s="65"/>
      <c r="H68" s="563"/>
    </row>
    <row r="69" spans="1:8" x14ac:dyDescent="0.25">
      <c r="A69" s="573" t="s">
        <v>283</v>
      </c>
      <c r="B69" s="88" t="s">
        <v>356</v>
      </c>
      <c r="C69" s="574">
        <f>SUM(C70:C82)</f>
        <v>480000000</v>
      </c>
      <c r="D69" s="574">
        <f>SUBTOTAL(9,D70:D82)</f>
        <v>0</v>
      </c>
      <c r="E69" s="574">
        <f>SUBTOTAL(9,E70:E82)</f>
        <v>0</v>
      </c>
      <c r="F69" s="574">
        <v>480000000</v>
      </c>
      <c r="G69" s="65"/>
      <c r="H69" s="563"/>
    </row>
    <row r="70" spans="1:8" x14ac:dyDescent="0.25">
      <c r="A70" s="573"/>
      <c r="B70" s="88" t="s">
        <v>289</v>
      </c>
      <c r="C70" s="574">
        <f>D70+F70+E70</f>
        <v>300000000</v>
      </c>
      <c r="D70" s="575"/>
      <c r="E70" s="575"/>
      <c r="F70" s="575">
        <v>300000000</v>
      </c>
      <c r="G70" s="65"/>
      <c r="H70" s="563"/>
    </row>
    <row r="71" spans="1:8" ht="33" x14ac:dyDescent="0.25">
      <c r="A71" s="573"/>
      <c r="B71" s="88" t="s">
        <v>49</v>
      </c>
      <c r="C71" s="574">
        <f t="shared" ref="C71:C82" si="9">D71+F71+E71</f>
        <v>16000000</v>
      </c>
      <c r="D71" s="575"/>
      <c r="E71" s="575"/>
      <c r="F71" s="575">
        <v>16000000</v>
      </c>
      <c r="G71" s="65"/>
      <c r="H71" s="563"/>
    </row>
    <row r="72" spans="1:8" x14ac:dyDescent="0.25">
      <c r="A72" s="573"/>
      <c r="B72" s="88" t="s">
        <v>50</v>
      </c>
      <c r="C72" s="574">
        <f t="shared" si="9"/>
        <v>10000000</v>
      </c>
      <c r="D72" s="575"/>
      <c r="E72" s="575"/>
      <c r="F72" s="575">
        <v>10000000</v>
      </c>
      <c r="G72" s="65"/>
      <c r="H72" s="563"/>
    </row>
    <row r="73" spans="1:8" x14ac:dyDescent="0.25">
      <c r="A73" s="573"/>
      <c r="B73" s="88" t="s">
        <v>51</v>
      </c>
      <c r="C73" s="574">
        <f t="shared" si="9"/>
        <v>50000000</v>
      </c>
      <c r="D73" s="575"/>
      <c r="E73" s="575"/>
      <c r="F73" s="575">
        <v>50000000</v>
      </c>
      <c r="G73" s="65"/>
      <c r="H73" s="563"/>
    </row>
    <row r="74" spans="1:8" x14ac:dyDescent="0.25">
      <c r="A74" s="573"/>
      <c r="B74" s="88" t="s">
        <v>42</v>
      </c>
      <c r="C74" s="574">
        <f t="shared" si="9"/>
        <v>30000000</v>
      </c>
      <c r="D74" s="575"/>
      <c r="E74" s="575"/>
      <c r="F74" s="575">
        <v>30000000</v>
      </c>
      <c r="G74" s="65"/>
      <c r="H74" s="563"/>
    </row>
    <row r="75" spans="1:8" x14ac:dyDescent="0.25">
      <c r="A75" s="573"/>
      <c r="B75" s="88" t="s">
        <v>52</v>
      </c>
      <c r="C75" s="574">
        <f t="shared" si="9"/>
        <v>6000000</v>
      </c>
      <c r="D75" s="575"/>
      <c r="E75" s="575"/>
      <c r="F75" s="575">
        <v>6000000</v>
      </c>
      <c r="G75" s="65"/>
      <c r="H75" s="563"/>
    </row>
    <row r="76" spans="1:8" x14ac:dyDescent="0.25">
      <c r="A76" s="573"/>
      <c r="B76" s="88" t="s">
        <v>290</v>
      </c>
      <c r="C76" s="574">
        <f t="shared" si="9"/>
        <v>20000000</v>
      </c>
      <c r="D76" s="575"/>
      <c r="E76" s="575"/>
      <c r="F76" s="575">
        <v>20000000</v>
      </c>
      <c r="G76" s="65"/>
      <c r="H76" s="563"/>
    </row>
    <row r="77" spans="1:8" x14ac:dyDescent="0.25">
      <c r="A77" s="573"/>
      <c r="B77" s="88" t="s">
        <v>260</v>
      </c>
      <c r="C77" s="574">
        <f t="shared" si="9"/>
        <v>16000000</v>
      </c>
      <c r="D77" s="575"/>
      <c r="E77" s="575"/>
      <c r="F77" s="575">
        <v>16000000</v>
      </c>
      <c r="G77" s="65"/>
      <c r="H77" s="563"/>
    </row>
    <row r="78" spans="1:8" x14ac:dyDescent="0.25">
      <c r="A78" s="573"/>
      <c r="B78" s="88" t="s">
        <v>45</v>
      </c>
      <c r="C78" s="574">
        <f t="shared" si="9"/>
        <v>4000000</v>
      </c>
      <c r="D78" s="575"/>
      <c r="E78" s="575"/>
      <c r="F78" s="575">
        <v>4000000</v>
      </c>
      <c r="G78" s="65"/>
      <c r="H78" s="563"/>
    </row>
    <row r="79" spans="1:8" x14ac:dyDescent="0.25">
      <c r="A79" s="573"/>
      <c r="B79" s="88" t="s">
        <v>261</v>
      </c>
      <c r="C79" s="574">
        <f t="shared" si="9"/>
        <v>4000000</v>
      </c>
      <c r="D79" s="575"/>
      <c r="E79" s="575"/>
      <c r="F79" s="575">
        <v>4000000</v>
      </c>
      <c r="G79" s="65"/>
      <c r="H79" s="563"/>
    </row>
    <row r="80" spans="1:8" x14ac:dyDescent="0.25">
      <c r="A80" s="573"/>
      <c r="B80" s="88" t="s">
        <v>46</v>
      </c>
      <c r="C80" s="574">
        <f t="shared" si="9"/>
        <v>12000000</v>
      </c>
      <c r="D80" s="575"/>
      <c r="E80" s="575"/>
      <c r="F80" s="575">
        <v>12000000</v>
      </c>
      <c r="G80" s="65"/>
      <c r="H80" s="563"/>
    </row>
    <row r="81" spans="1:8" x14ac:dyDescent="0.25">
      <c r="A81" s="573"/>
      <c r="B81" s="88" t="s">
        <v>48</v>
      </c>
      <c r="C81" s="574">
        <f t="shared" si="9"/>
        <v>6000000</v>
      </c>
      <c r="D81" s="575"/>
      <c r="E81" s="575"/>
      <c r="F81" s="575">
        <v>6000000</v>
      </c>
      <c r="G81" s="65"/>
      <c r="H81" s="563"/>
    </row>
    <row r="82" spans="1:8" x14ac:dyDescent="0.25">
      <c r="A82" s="573"/>
      <c r="B82" s="88" t="s">
        <v>259</v>
      </c>
      <c r="C82" s="574">
        <f t="shared" si="9"/>
        <v>6000000</v>
      </c>
      <c r="D82" s="575"/>
      <c r="E82" s="575"/>
      <c r="F82" s="575">
        <v>6000000</v>
      </c>
      <c r="G82" s="65"/>
      <c r="H82" s="563"/>
    </row>
    <row r="83" spans="1:8" s="656" customFormat="1" ht="18.75" x14ac:dyDescent="0.3">
      <c r="A83" s="89" t="s">
        <v>1081</v>
      </c>
      <c r="B83" s="48" t="s">
        <v>1098</v>
      </c>
      <c r="C83" s="91">
        <f>C84+C85</f>
        <v>159561016</v>
      </c>
      <c r="D83" s="91">
        <f>D84+D85</f>
        <v>0</v>
      </c>
      <c r="E83" s="91">
        <f>E84+E85</f>
        <v>0</v>
      </c>
      <c r="F83" s="91">
        <f>F84+F85</f>
        <v>159561016</v>
      </c>
      <c r="G83" s="91"/>
    </row>
    <row r="84" spans="1:8" s="656" customFormat="1" ht="18.75" x14ac:dyDescent="0.3">
      <c r="A84" s="89"/>
      <c r="B84" s="132" t="s">
        <v>407</v>
      </c>
      <c r="C84" s="93">
        <f>D84+E84+F84</f>
        <v>50000000</v>
      </c>
      <c r="D84" s="93"/>
      <c r="E84" s="93"/>
      <c r="F84" s="93">
        <v>50000000</v>
      </c>
      <c r="G84" s="91"/>
    </row>
    <row r="85" spans="1:8" s="656" customFormat="1" ht="33" x14ac:dyDescent="0.3">
      <c r="A85" s="89"/>
      <c r="B85" s="92" t="s">
        <v>1102</v>
      </c>
      <c r="C85" s="93">
        <f>D85+E85+F85</f>
        <v>109561016</v>
      </c>
      <c r="D85" s="93"/>
      <c r="E85" s="93"/>
      <c r="F85" s="93">
        <v>109561016</v>
      </c>
      <c r="G85" s="91"/>
    </row>
    <row r="86" spans="1:8" s="107" customFormat="1" ht="33" x14ac:dyDescent="0.25">
      <c r="A86" s="104" t="s">
        <v>227</v>
      </c>
      <c r="B86" s="58" t="s">
        <v>279</v>
      </c>
      <c r="C86" s="105">
        <f>C87+C91</f>
        <v>3844114832</v>
      </c>
      <c r="D86" s="105">
        <f>D87+D91</f>
        <v>2579773184</v>
      </c>
      <c r="E86" s="105">
        <f>E87+E91</f>
        <v>454080964</v>
      </c>
      <c r="F86" s="105">
        <f>F87+F91</f>
        <v>810260684</v>
      </c>
      <c r="G86" s="106"/>
      <c r="H86" s="576"/>
    </row>
    <row r="87" spans="1:8" x14ac:dyDescent="0.25">
      <c r="A87" s="49">
        <v>1</v>
      </c>
      <c r="B87" s="48" t="s">
        <v>420</v>
      </c>
      <c r="C87" s="66">
        <f>SUM(C88:C90)</f>
        <v>90000000</v>
      </c>
      <c r="D87" s="66">
        <f>SUM(D88:D90)</f>
        <v>0</v>
      </c>
      <c r="E87" s="66">
        <f>SUM(E88:E90)</f>
        <v>15000000</v>
      </c>
      <c r="F87" s="66">
        <f>SUM(F88:F90)</f>
        <v>75000000</v>
      </c>
      <c r="G87" s="65"/>
    </row>
    <row r="88" spans="1:8" s="99" customFormat="1" ht="49.5" x14ac:dyDescent="0.25">
      <c r="A88" s="97"/>
      <c r="B88" s="98" t="s">
        <v>1068</v>
      </c>
      <c r="C88" s="100">
        <f t="shared" ref="C88:C90" si="10">D88+E88+F88</f>
        <v>30000000</v>
      </c>
      <c r="D88" s="551"/>
      <c r="E88" s="64"/>
      <c r="F88" s="64">
        <v>30000000</v>
      </c>
      <c r="G88" s="101"/>
    </row>
    <row r="89" spans="1:8" s="99" customFormat="1" ht="49.5" x14ac:dyDescent="0.25">
      <c r="A89" s="97"/>
      <c r="B89" s="98" t="s">
        <v>286</v>
      </c>
      <c r="C89" s="100">
        <f t="shared" si="10"/>
        <v>30000000</v>
      </c>
      <c r="D89" s="551"/>
      <c r="E89" s="64">
        <v>15000000</v>
      </c>
      <c r="F89" s="64">
        <v>15000000</v>
      </c>
      <c r="G89" s="101"/>
    </row>
    <row r="90" spans="1:8" s="99" customFormat="1" ht="49.5" x14ac:dyDescent="0.25">
      <c r="A90" s="97"/>
      <c r="B90" s="98" t="s">
        <v>415</v>
      </c>
      <c r="C90" s="100">
        <f t="shared" si="10"/>
        <v>30000000</v>
      </c>
      <c r="D90" s="551"/>
      <c r="E90" s="64"/>
      <c r="F90" s="64">
        <v>30000000</v>
      </c>
      <c r="G90" s="101"/>
    </row>
    <row r="91" spans="1:8" x14ac:dyDescent="0.25">
      <c r="A91" s="49">
        <v>2</v>
      </c>
      <c r="B91" s="48" t="s">
        <v>1013</v>
      </c>
      <c r="C91" s="66">
        <f>C92+C116+C222+C242+C237</f>
        <v>3754114832</v>
      </c>
      <c r="D91" s="66">
        <f>D92+D116+D222+D242+D237</f>
        <v>2579773184</v>
      </c>
      <c r="E91" s="66">
        <f>E92+E116+E222+E242+E237</f>
        <v>439080964</v>
      </c>
      <c r="F91" s="66">
        <f>F92+F116+F222+F242+F237</f>
        <v>735260684</v>
      </c>
      <c r="G91" s="65"/>
    </row>
    <row r="92" spans="1:8" s="656" customFormat="1" ht="37.5" x14ac:dyDescent="0.3">
      <c r="A92" s="89" t="s">
        <v>551</v>
      </c>
      <c r="B92" s="657" t="s">
        <v>1059</v>
      </c>
      <c r="C92" s="91">
        <f>C93</f>
        <v>446555000</v>
      </c>
      <c r="D92" s="91">
        <f>D93</f>
        <v>444555000</v>
      </c>
      <c r="E92" s="91">
        <f t="shared" ref="E92:F92" si="11">E93</f>
        <v>2000000</v>
      </c>
      <c r="F92" s="91">
        <f t="shared" si="11"/>
        <v>0</v>
      </c>
      <c r="G92" s="91"/>
    </row>
    <row r="93" spans="1:8" ht="66" x14ac:dyDescent="0.25">
      <c r="A93" s="49"/>
      <c r="B93" s="48" t="s">
        <v>1156</v>
      </c>
      <c r="C93" s="66">
        <f>C94+C102+C106+C109+C112+C113+C111</f>
        <v>446555000</v>
      </c>
      <c r="D93" s="66">
        <f>D94+D102+D106+D109+D112+D113+D111</f>
        <v>444555000</v>
      </c>
      <c r="E93" s="66">
        <f>E94+E102+E106+E109+E112+E113+E111</f>
        <v>2000000</v>
      </c>
      <c r="F93" s="66">
        <f>F94+F102+F106+F109+F112+F113+F111</f>
        <v>0</v>
      </c>
      <c r="G93" s="65"/>
    </row>
    <row r="94" spans="1:8" x14ac:dyDescent="0.25">
      <c r="A94" s="49" t="s">
        <v>282</v>
      </c>
      <c r="B94" s="48" t="s">
        <v>265</v>
      </c>
      <c r="C94" s="66">
        <f>SUM(C95:C101)</f>
        <v>124106000</v>
      </c>
      <c r="D94" s="66">
        <f>SUM(D95:D101)</f>
        <v>124106000</v>
      </c>
      <c r="E94" s="66">
        <f>SUM(E95:E101)</f>
        <v>0</v>
      </c>
      <c r="F94" s="66">
        <f>SUM(F95:F101)</f>
        <v>0</v>
      </c>
      <c r="G94" s="65"/>
    </row>
    <row r="95" spans="1:8" s="99" customFormat="1" ht="33" x14ac:dyDescent="0.25">
      <c r="A95" s="97"/>
      <c r="B95" s="98" t="s">
        <v>292</v>
      </c>
      <c r="C95" s="100">
        <f>D95+F95+E95</f>
        <v>5500000</v>
      </c>
      <c r="D95" s="64">
        <v>5500000</v>
      </c>
      <c r="E95" s="64"/>
      <c r="F95" s="64"/>
      <c r="G95" s="101"/>
    </row>
    <row r="96" spans="1:8" s="99" customFormat="1" ht="33" x14ac:dyDescent="0.25">
      <c r="A96" s="97"/>
      <c r="B96" s="98" t="s">
        <v>291</v>
      </c>
      <c r="C96" s="100">
        <f t="shared" ref="C96:C101" si="12">D96+F96+E96</f>
        <v>7480000</v>
      </c>
      <c r="D96" s="64">
        <v>7480000</v>
      </c>
      <c r="E96" s="64"/>
      <c r="F96" s="64"/>
      <c r="G96" s="101"/>
    </row>
    <row r="97" spans="1:7" s="99" customFormat="1" ht="49.5" x14ac:dyDescent="0.25">
      <c r="A97" s="97"/>
      <c r="B97" s="98" t="s">
        <v>1075</v>
      </c>
      <c r="C97" s="100">
        <f t="shared" si="12"/>
        <v>4290000</v>
      </c>
      <c r="D97" s="64">
        <v>4290000</v>
      </c>
      <c r="E97" s="64"/>
      <c r="F97" s="64"/>
      <c r="G97" s="101"/>
    </row>
    <row r="98" spans="1:7" s="99" customFormat="1" ht="33" x14ac:dyDescent="0.25">
      <c r="A98" s="97"/>
      <c r="B98" s="98" t="s">
        <v>32</v>
      </c>
      <c r="C98" s="100">
        <f t="shared" si="12"/>
        <v>8200000</v>
      </c>
      <c r="D98" s="64">
        <v>8200000</v>
      </c>
      <c r="E98" s="64"/>
      <c r="F98" s="64"/>
      <c r="G98" s="101"/>
    </row>
    <row r="99" spans="1:7" s="99" customFormat="1" ht="33" x14ac:dyDescent="0.25">
      <c r="A99" s="97"/>
      <c r="B99" s="98" t="s">
        <v>266</v>
      </c>
      <c r="C99" s="100">
        <f t="shared" si="12"/>
        <v>3636000</v>
      </c>
      <c r="D99" s="64">
        <v>3636000</v>
      </c>
      <c r="E99" s="64"/>
      <c r="F99" s="64"/>
      <c r="G99" s="101"/>
    </row>
    <row r="100" spans="1:7" s="99" customFormat="1" ht="33" x14ac:dyDescent="0.25">
      <c r="A100" s="97"/>
      <c r="B100" s="98" t="s">
        <v>414</v>
      </c>
      <c r="C100" s="100">
        <f t="shared" si="12"/>
        <v>25000000</v>
      </c>
      <c r="D100" s="64">
        <v>25000000</v>
      </c>
      <c r="E100" s="64"/>
      <c r="F100" s="64"/>
      <c r="G100" s="101"/>
    </row>
    <row r="101" spans="1:7" s="99" customFormat="1" ht="49.5" x14ac:dyDescent="0.25">
      <c r="A101" s="97"/>
      <c r="B101" s="98" t="s">
        <v>298</v>
      </c>
      <c r="C101" s="100">
        <f t="shared" si="12"/>
        <v>70000000</v>
      </c>
      <c r="D101" s="64">
        <v>70000000</v>
      </c>
      <c r="E101" s="64"/>
      <c r="F101" s="64"/>
      <c r="G101" s="101"/>
    </row>
    <row r="102" spans="1:7" x14ac:dyDescent="0.25">
      <c r="A102" s="49" t="s">
        <v>283</v>
      </c>
      <c r="B102" s="48" t="s">
        <v>267</v>
      </c>
      <c r="C102" s="67">
        <f>SUM(C103:C105)</f>
        <v>8910000</v>
      </c>
      <c r="D102" s="67">
        <f>SUM(D103:D105)</f>
        <v>8910000</v>
      </c>
      <c r="E102" s="67">
        <f>SUM(E103:E105)</f>
        <v>0</v>
      </c>
      <c r="F102" s="67">
        <f>SUM(F103:F105)</f>
        <v>0</v>
      </c>
      <c r="G102" s="65"/>
    </row>
    <row r="103" spans="1:7" s="99" customFormat="1" ht="33" x14ac:dyDescent="0.25">
      <c r="A103" s="97"/>
      <c r="B103" s="98" t="s">
        <v>293</v>
      </c>
      <c r="C103" s="658">
        <f>D103+F103+E103</f>
        <v>3630000</v>
      </c>
      <c r="D103" s="108">
        <v>3630000</v>
      </c>
      <c r="E103" s="64"/>
      <c r="F103" s="64"/>
      <c r="G103" s="101"/>
    </row>
    <row r="104" spans="1:7" s="99" customFormat="1" ht="33" x14ac:dyDescent="0.25">
      <c r="A104" s="97"/>
      <c r="B104" s="98" t="s">
        <v>294</v>
      </c>
      <c r="C104" s="658">
        <f>D104+F104+E104</f>
        <v>1650000</v>
      </c>
      <c r="D104" s="108">
        <v>1650000</v>
      </c>
      <c r="E104" s="64"/>
      <c r="F104" s="64"/>
      <c r="G104" s="101"/>
    </row>
    <row r="105" spans="1:7" s="99" customFormat="1" ht="33" x14ac:dyDescent="0.25">
      <c r="A105" s="97"/>
      <c r="B105" s="98" t="s">
        <v>268</v>
      </c>
      <c r="C105" s="658">
        <f>D105+F105+E105</f>
        <v>3630000</v>
      </c>
      <c r="D105" s="108">
        <v>3630000</v>
      </c>
      <c r="E105" s="64"/>
      <c r="F105" s="64"/>
      <c r="G105" s="101"/>
    </row>
    <row r="106" spans="1:7" x14ac:dyDescent="0.25">
      <c r="A106" s="49" t="s">
        <v>287</v>
      </c>
      <c r="B106" s="48" t="s">
        <v>269</v>
      </c>
      <c r="C106" s="66">
        <f>SUM(C107:C108)</f>
        <v>6539000</v>
      </c>
      <c r="D106" s="66">
        <f>SUM(D107:D108)</f>
        <v>6539000</v>
      </c>
      <c r="E106" s="62"/>
      <c r="F106" s="62"/>
      <c r="G106" s="65"/>
    </row>
    <row r="107" spans="1:7" s="99" customFormat="1" ht="33" x14ac:dyDescent="0.25">
      <c r="A107" s="97"/>
      <c r="B107" s="98" t="s">
        <v>1076</v>
      </c>
      <c r="C107" s="100">
        <f>D107+F107+E107</f>
        <v>5000000</v>
      </c>
      <c r="D107" s="659">
        <v>5000000</v>
      </c>
      <c r="E107" s="660"/>
      <c r="F107" s="64"/>
      <c r="G107" s="101"/>
    </row>
    <row r="108" spans="1:7" s="99" customFormat="1" x14ac:dyDescent="0.25">
      <c r="A108" s="97"/>
      <c r="B108" s="98" t="s">
        <v>296</v>
      </c>
      <c r="C108" s="100">
        <f>D108+F108+E108</f>
        <v>1539000</v>
      </c>
      <c r="D108" s="660">
        <v>1539000</v>
      </c>
      <c r="E108" s="660"/>
      <c r="F108" s="64"/>
      <c r="G108" s="101"/>
    </row>
    <row r="109" spans="1:7" x14ac:dyDescent="0.25">
      <c r="A109" s="49" t="s">
        <v>295</v>
      </c>
      <c r="B109" s="48" t="s">
        <v>270</v>
      </c>
      <c r="C109" s="66">
        <f>SUM(C110:C110)</f>
        <v>2000000</v>
      </c>
      <c r="D109" s="66">
        <f>SUM(D110:D110)</f>
        <v>0</v>
      </c>
      <c r="E109" s="66">
        <f>SUM(E110:E110)</f>
        <v>2000000</v>
      </c>
      <c r="F109" s="66">
        <f>SUM(F110:F110)</f>
        <v>0</v>
      </c>
      <c r="G109" s="65"/>
    </row>
    <row r="110" spans="1:7" s="99" customFormat="1" ht="49.5" x14ac:dyDescent="0.25">
      <c r="A110" s="97"/>
      <c r="B110" s="98" t="s">
        <v>452</v>
      </c>
      <c r="C110" s="100">
        <f>D110+F110+E110</f>
        <v>2000000</v>
      </c>
      <c r="D110" s="64"/>
      <c r="E110" s="64">
        <v>2000000</v>
      </c>
      <c r="F110" s="64"/>
      <c r="G110" s="101"/>
    </row>
    <row r="111" spans="1:7" ht="49.5" x14ac:dyDescent="0.25">
      <c r="A111" s="49" t="s">
        <v>1086</v>
      </c>
      <c r="B111" s="48" t="s">
        <v>1074</v>
      </c>
      <c r="C111" s="66">
        <f>D111+F111+E111</f>
        <v>100000000</v>
      </c>
      <c r="D111" s="62">
        <v>100000000</v>
      </c>
      <c r="E111" s="62"/>
      <c r="F111" s="62"/>
      <c r="G111" s="65"/>
    </row>
    <row r="112" spans="1:7" ht="63" customHeight="1" x14ac:dyDescent="0.25">
      <c r="A112" s="49" t="s">
        <v>1087</v>
      </c>
      <c r="B112" s="48" t="s">
        <v>301</v>
      </c>
      <c r="C112" s="66">
        <f>D112+E112+F112</f>
        <v>100000000</v>
      </c>
      <c r="D112" s="68">
        <v>100000000</v>
      </c>
      <c r="E112" s="68"/>
      <c r="F112" s="62"/>
      <c r="G112" s="65"/>
    </row>
    <row r="113" spans="1:7" x14ac:dyDescent="0.25">
      <c r="A113" s="49" t="s">
        <v>1088</v>
      </c>
      <c r="B113" s="48" t="s">
        <v>428</v>
      </c>
      <c r="C113" s="66">
        <f>D113+E113+F113</f>
        <v>105000000</v>
      </c>
      <c r="D113" s="68">
        <f>SUM(D114:D115)</f>
        <v>105000000</v>
      </c>
      <c r="E113" s="68">
        <f t="shared" ref="E113:F113" si="13">SUM(E114:E115)</f>
        <v>0</v>
      </c>
      <c r="F113" s="68">
        <f t="shared" si="13"/>
        <v>0</v>
      </c>
      <c r="G113" s="65"/>
    </row>
    <row r="114" spans="1:7" ht="33" x14ac:dyDescent="0.25">
      <c r="A114" s="49"/>
      <c r="B114" s="48" t="s">
        <v>429</v>
      </c>
      <c r="C114" s="66">
        <f>D114+E114+F114</f>
        <v>60000000</v>
      </c>
      <c r="D114" s="68">
        <v>60000000</v>
      </c>
      <c r="E114" s="68"/>
      <c r="F114" s="62"/>
      <c r="G114" s="65"/>
    </row>
    <row r="115" spans="1:7" ht="49.5" x14ac:dyDescent="0.25">
      <c r="A115" s="49"/>
      <c r="B115" s="48" t="s">
        <v>1077</v>
      </c>
      <c r="C115" s="66">
        <f>D115+E115+F115</f>
        <v>45000000</v>
      </c>
      <c r="D115" s="68">
        <v>45000000</v>
      </c>
      <c r="E115" s="68"/>
      <c r="F115" s="62"/>
      <c r="G115" s="65"/>
    </row>
    <row r="116" spans="1:7" s="656" customFormat="1" ht="18.75" x14ac:dyDescent="0.3">
      <c r="A116" s="661" t="s">
        <v>555</v>
      </c>
      <c r="B116" s="662" t="s">
        <v>1035</v>
      </c>
      <c r="C116" s="91">
        <f>C117+C154+C167+C181</f>
        <v>909100000</v>
      </c>
      <c r="D116" s="91">
        <f>D117+D154+D167+D181</f>
        <v>879100000</v>
      </c>
      <c r="E116" s="91">
        <f t="shared" ref="E116:F116" si="14">E117+E154+E167+E181</f>
        <v>30000000</v>
      </c>
      <c r="F116" s="91">
        <f t="shared" si="14"/>
        <v>0</v>
      </c>
      <c r="G116" s="91"/>
    </row>
    <row r="117" spans="1:7" ht="68.25" customHeight="1" x14ac:dyDescent="0.25">
      <c r="A117" s="49" t="s">
        <v>1083</v>
      </c>
      <c r="B117" s="48" t="s">
        <v>1070</v>
      </c>
      <c r="C117" s="66">
        <f>C118+C127+C142</f>
        <v>452500000</v>
      </c>
      <c r="D117" s="66">
        <f>D118+D127+D142</f>
        <v>452500000</v>
      </c>
      <c r="E117" s="66">
        <f t="shared" ref="E117:F117" si="15">E118+E127+E142</f>
        <v>0</v>
      </c>
      <c r="F117" s="66">
        <f t="shared" si="15"/>
        <v>0</v>
      </c>
      <c r="G117" s="65"/>
    </row>
    <row r="118" spans="1:7" ht="33" x14ac:dyDescent="0.25">
      <c r="A118" s="49" t="s">
        <v>282</v>
      </c>
      <c r="B118" s="102" t="s">
        <v>441</v>
      </c>
      <c r="C118" s="66">
        <f>SUM(C119:C126)</f>
        <v>126000000</v>
      </c>
      <c r="D118" s="66">
        <f>SUM(D119:D126)</f>
        <v>126000000</v>
      </c>
      <c r="E118" s="66">
        <f>SUBTOTAL(9,E119:E126)</f>
        <v>0</v>
      </c>
      <c r="F118" s="66">
        <f>SUBTOTAL(9,F119:F126)</f>
        <v>0</v>
      </c>
      <c r="G118" s="65"/>
    </row>
    <row r="119" spans="1:7" x14ac:dyDescent="0.25">
      <c r="A119" s="49"/>
      <c r="B119" s="80" t="s">
        <v>439</v>
      </c>
      <c r="C119" s="81">
        <f t="shared" ref="C119:C126" si="16">D119+E119+F119</f>
        <v>14000000</v>
      </c>
      <c r="D119" s="82">
        <v>14000000</v>
      </c>
      <c r="E119" s="82"/>
      <c r="F119" s="62"/>
      <c r="G119" s="65"/>
    </row>
    <row r="120" spans="1:7" x14ac:dyDescent="0.25">
      <c r="A120" s="49"/>
      <c r="B120" s="80" t="s">
        <v>438</v>
      </c>
      <c r="C120" s="81">
        <f t="shared" si="16"/>
        <v>10000000</v>
      </c>
      <c r="D120" s="82">
        <v>10000000</v>
      </c>
      <c r="E120" s="82"/>
      <c r="F120" s="62"/>
      <c r="G120" s="65"/>
    </row>
    <row r="121" spans="1:7" x14ac:dyDescent="0.25">
      <c r="A121" s="49"/>
      <c r="B121" s="80" t="s">
        <v>440</v>
      </c>
      <c r="C121" s="81">
        <f t="shared" si="16"/>
        <v>23000000</v>
      </c>
      <c r="D121" s="82">
        <v>23000000</v>
      </c>
      <c r="E121" s="82"/>
      <c r="F121" s="62"/>
      <c r="G121" s="65"/>
    </row>
    <row r="122" spans="1:7" x14ac:dyDescent="0.25">
      <c r="A122" s="49"/>
      <c r="B122" s="83" t="s">
        <v>306</v>
      </c>
      <c r="C122" s="81">
        <f t="shared" si="16"/>
        <v>25000000</v>
      </c>
      <c r="D122" s="82">
        <v>25000000</v>
      </c>
      <c r="E122" s="82"/>
      <c r="F122" s="82"/>
      <c r="G122" s="65"/>
    </row>
    <row r="123" spans="1:7" x14ac:dyDescent="0.25">
      <c r="A123" s="49"/>
      <c r="B123" s="83" t="s">
        <v>309</v>
      </c>
      <c r="C123" s="81">
        <f t="shared" si="16"/>
        <v>18000000</v>
      </c>
      <c r="D123" s="82">
        <v>18000000</v>
      </c>
      <c r="E123" s="82"/>
      <c r="F123" s="82"/>
      <c r="G123" s="65"/>
    </row>
    <row r="124" spans="1:7" x14ac:dyDescent="0.25">
      <c r="A124" s="49"/>
      <c r="B124" s="83" t="s">
        <v>305</v>
      </c>
      <c r="C124" s="81">
        <f t="shared" si="16"/>
        <v>15000000</v>
      </c>
      <c r="D124" s="82">
        <v>15000000</v>
      </c>
      <c r="E124" s="82"/>
      <c r="F124" s="82"/>
      <c r="G124" s="65"/>
    </row>
    <row r="125" spans="1:7" x14ac:dyDescent="0.25">
      <c r="A125" s="49"/>
      <c r="B125" s="83" t="s">
        <v>307</v>
      </c>
      <c r="C125" s="81">
        <f t="shared" si="16"/>
        <v>3000000</v>
      </c>
      <c r="D125" s="82">
        <v>3000000</v>
      </c>
      <c r="E125" s="82"/>
      <c r="F125" s="82"/>
      <c r="G125" s="65"/>
    </row>
    <row r="126" spans="1:7" x14ac:dyDescent="0.25">
      <c r="A126" s="49"/>
      <c r="B126" s="83" t="s">
        <v>308</v>
      </c>
      <c r="C126" s="81">
        <f t="shared" si="16"/>
        <v>18000000</v>
      </c>
      <c r="D126" s="82">
        <v>18000000</v>
      </c>
      <c r="E126" s="82"/>
      <c r="F126" s="82"/>
      <c r="G126" s="65"/>
    </row>
    <row r="127" spans="1:7" ht="33" x14ac:dyDescent="0.25">
      <c r="A127" s="49" t="s">
        <v>283</v>
      </c>
      <c r="B127" s="102" t="s">
        <v>442</v>
      </c>
      <c r="C127" s="66">
        <f>SUM(C128:C141)</f>
        <v>222000000</v>
      </c>
      <c r="D127" s="66">
        <f>SUM(D128:D141)</f>
        <v>222000000</v>
      </c>
      <c r="E127" s="66">
        <f>SUBTOTAL(9,E128:E141)</f>
        <v>0</v>
      </c>
      <c r="F127" s="66">
        <f>SUBTOTAL(9,F128:F141)</f>
        <v>0</v>
      </c>
      <c r="G127" s="65"/>
    </row>
    <row r="128" spans="1:7" x14ac:dyDescent="0.25">
      <c r="A128" s="49"/>
      <c r="B128" s="80" t="s">
        <v>311</v>
      </c>
      <c r="C128" s="81">
        <f>D128+E128+F128</f>
        <v>25000000</v>
      </c>
      <c r="D128" s="82">
        <v>25000000</v>
      </c>
      <c r="E128" s="82"/>
      <c r="F128" s="82"/>
      <c r="G128" s="65"/>
    </row>
    <row r="129" spans="1:7" x14ac:dyDescent="0.25">
      <c r="A129" s="49"/>
      <c r="B129" s="80" t="s">
        <v>312</v>
      </c>
      <c r="C129" s="81">
        <f t="shared" ref="C129:C141" si="17">D129+E129+F129</f>
        <v>15000000</v>
      </c>
      <c r="D129" s="82">
        <v>15000000</v>
      </c>
      <c r="E129" s="82"/>
      <c r="F129" s="82"/>
      <c r="G129" s="65"/>
    </row>
    <row r="130" spans="1:7" x14ac:dyDescent="0.25">
      <c r="A130" s="49"/>
      <c r="B130" s="80" t="s">
        <v>443</v>
      </c>
      <c r="C130" s="81">
        <f t="shared" si="17"/>
        <v>17000000</v>
      </c>
      <c r="D130" s="82">
        <v>17000000</v>
      </c>
      <c r="E130" s="82"/>
      <c r="F130" s="82"/>
      <c r="G130" s="65"/>
    </row>
    <row r="131" spans="1:7" x14ac:dyDescent="0.25">
      <c r="A131" s="49"/>
      <c r="B131" s="83" t="s">
        <v>305</v>
      </c>
      <c r="C131" s="81">
        <f t="shared" si="17"/>
        <v>25000000</v>
      </c>
      <c r="D131" s="82">
        <v>25000000</v>
      </c>
      <c r="E131" s="82"/>
      <c r="F131" s="82"/>
      <c r="G131" s="65"/>
    </row>
    <row r="132" spans="1:7" x14ac:dyDescent="0.25">
      <c r="A132" s="49"/>
      <c r="B132" s="80" t="s">
        <v>372</v>
      </c>
      <c r="C132" s="81">
        <f t="shared" si="17"/>
        <v>15000000</v>
      </c>
      <c r="D132" s="82">
        <v>15000000</v>
      </c>
      <c r="E132" s="82"/>
      <c r="F132" s="82"/>
      <c r="G132" s="65"/>
    </row>
    <row r="133" spans="1:7" x14ac:dyDescent="0.25">
      <c r="A133" s="49"/>
      <c r="B133" s="80" t="s">
        <v>308</v>
      </c>
      <c r="C133" s="81">
        <f t="shared" si="17"/>
        <v>25000000</v>
      </c>
      <c r="D133" s="82">
        <v>25000000</v>
      </c>
      <c r="E133" s="82"/>
      <c r="F133" s="82"/>
      <c r="G133" s="65"/>
    </row>
    <row r="134" spans="1:7" ht="49.5" x14ac:dyDescent="0.25">
      <c r="A134" s="49"/>
      <c r="B134" s="577" t="s">
        <v>416</v>
      </c>
      <c r="C134" s="81">
        <f t="shared" si="17"/>
        <v>18000000</v>
      </c>
      <c r="D134" s="82">
        <v>18000000</v>
      </c>
      <c r="E134" s="82"/>
      <c r="F134" s="82"/>
      <c r="G134" s="65"/>
    </row>
    <row r="135" spans="1:7" ht="33" x14ac:dyDescent="0.25">
      <c r="A135" s="49"/>
      <c r="B135" s="577" t="s">
        <v>444</v>
      </c>
      <c r="C135" s="81">
        <f t="shared" si="17"/>
        <v>25000000</v>
      </c>
      <c r="D135" s="82">
        <v>25000000</v>
      </c>
      <c r="E135" s="82"/>
      <c r="F135" s="82"/>
      <c r="G135" s="65"/>
    </row>
    <row r="136" spans="1:7" x14ac:dyDescent="0.25">
      <c r="A136" s="49"/>
      <c r="B136" s="80" t="s">
        <v>445</v>
      </c>
      <c r="C136" s="81">
        <f t="shared" si="17"/>
        <v>5000000</v>
      </c>
      <c r="D136" s="82">
        <v>5000000</v>
      </c>
      <c r="E136" s="82"/>
      <c r="F136" s="82"/>
      <c r="G136" s="65"/>
    </row>
    <row r="137" spans="1:7" ht="33" x14ac:dyDescent="0.25">
      <c r="A137" s="49"/>
      <c r="B137" s="578" t="s">
        <v>446</v>
      </c>
      <c r="C137" s="81">
        <f t="shared" si="17"/>
        <v>14000000</v>
      </c>
      <c r="D137" s="82">
        <v>14000000</v>
      </c>
      <c r="E137" s="82"/>
      <c r="F137" s="82"/>
      <c r="G137" s="65"/>
    </row>
    <row r="138" spans="1:7" ht="33" x14ac:dyDescent="0.25">
      <c r="A138" s="49"/>
      <c r="B138" s="80" t="s">
        <v>447</v>
      </c>
      <c r="C138" s="81">
        <f t="shared" si="17"/>
        <v>10000000</v>
      </c>
      <c r="D138" s="82">
        <v>10000000</v>
      </c>
      <c r="E138" s="82"/>
      <c r="F138" s="82"/>
      <c r="G138" s="65"/>
    </row>
    <row r="139" spans="1:7" x14ac:dyDescent="0.25">
      <c r="A139" s="49"/>
      <c r="B139" s="80" t="s">
        <v>1157</v>
      </c>
      <c r="C139" s="81">
        <f t="shared" si="17"/>
        <v>5000000</v>
      </c>
      <c r="D139" s="82">
        <v>5000000</v>
      </c>
      <c r="E139" s="82"/>
      <c r="F139" s="82"/>
      <c r="G139" s="65"/>
    </row>
    <row r="140" spans="1:7" x14ac:dyDescent="0.25">
      <c r="A140" s="49"/>
      <c r="B140" s="80" t="s">
        <v>314</v>
      </c>
      <c r="C140" s="81">
        <f t="shared" si="17"/>
        <v>5000000</v>
      </c>
      <c r="D140" s="82">
        <v>5000000</v>
      </c>
      <c r="E140" s="82"/>
      <c r="F140" s="82"/>
      <c r="G140" s="65"/>
    </row>
    <row r="141" spans="1:7" x14ac:dyDescent="0.25">
      <c r="A141" s="49"/>
      <c r="B141" s="80" t="s">
        <v>315</v>
      </c>
      <c r="C141" s="81">
        <f t="shared" si="17"/>
        <v>18000000</v>
      </c>
      <c r="D141" s="82">
        <v>18000000</v>
      </c>
      <c r="E141" s="82"/>
      <c r="F141" s="82"/>
      <c r="G141" s="65"/>
    </row>
    <row r="142" spans="1:7" ht="49.5" x14ac:dyDescent="0.25">
      <c r="A142" s="49" t="s">
        <v>287</v>
      </c>
      <c r="B142" s="102" t="s">
        <v>1071</v>
      </c>
      <c r="C142" s="103">
        <f>SUM(C143:C153)</f>
        <v>104500000</v>
      </c>
      <c r="D142" s="103">
        <f>SUM(D143:D153)</f>
        <v>104500000</v>
      </c>
      <c r="E142" s="103">
        <f>SUBTOTAL(9,E143:E152)</f>
        <v>0</v>
      </c>
      <c r="F142" s="103">
        <f>SUBTOTAL(9,F143:F152)</f>
        <v>0</v>
      </c>
      <c r="G142" s="65"/>
    </row>
    <row r="143" spans="1:7" x14ac:dyDescent="0.25">
      <c r="A143" s="49" t="s">
        <v>255</v>
      </c>
      <c r="B143" s="84" t="s">
        <v>317</v>
      </c>
      <c r="C143" s="85"/>
      <c r="D143" s="86"/>
      <c r="E143" s="86"/>
      <c r="F143" s="87"/>
      <c r="G143" s="65"/>
    </row>
    <row r="144" spans="1:7" x14ac:dyDescent="0.25">
      <c r="A144" s="49"/>
      <c r="B144" s="88" t="s">
        <v>316</v>
      </c>
      <c r="C144" s="85">
        <f>D144+F144+E144</f>
        <v>4000000</v>
      </c>
      <c r="D144" s="86">
        <v>4000000</v>
      </c>
      <c r="E144" s="86"/>
      <c r="F144" s="87"/>
      <c r="G144" s="65"/>
    </row>
    <row r="145" spans="1:7" x14ac:dyDescent="0.25">
      <c r="A145" s="49"/>
      <c r="B145" s="88" t="s">
        <v>313</v>
      </c>
      <c r="C145" s="85">
        <f t="shared" ref="C145:C153" si="18">D145+F145+E145</f>
        <v>1500000</v>
      </c>
      <c r="D145" s="86">
        <v>1500000</v>
      </c>
      <c r="E145" s="86"/>
      <c r="F145" s="87"/>
      <c r="G145" s="65"/>
    </row>
    <row r="146" spans="1:7" x14ac:dyDescent="0.25">
      <c r="A146" s="49"/>
      <c r="B146" s="88" t="s">
        <v>373</v>
      </c>
      <c r="C146" s="85">
        <f t="shared" si="18"/>
        <v>5000000</v>
      </c>
      <c r="D146" s="86">
        <v>5000000</v>
      </c>
      <c r="E146" s="86"/>
      <c r="F146" s="87"/>
      <c r="G146" s="65"/>
    </row>
    <row r="147" spans="1:7" x14ac:dyDescent="0.25">
      <c r="A147" s="49"/>
      <c r="B147" s="88" t="s">
        <v>318</v>
      </c>
      <c r="C147" s="85">
        <f t="shared" si="18"/>
        <v>8000000</v>
      </c>
      <c r="D147" s="86">
        <v>8000000</v>
      </c>
      <c r="E147" s="86"/>
      <c r="F147" s="87"/>
      <c r="G147" s="65"/>
    </row>
    <row r="148" spans="1:7" x14ac:dyDescent="0.25">
      <c r="A148" s="49" t="s">
        <v>255</v>
      </c>
      <c r="B148" s="88" t="s">
        <v>319</v>
      </c>
      <c r="C148" s="85">
        <f t="shared" si="18"/>
        <v>0</v>
      </c>
      <c r="D148" s="86">
        <v>0</v>
      </c>
      <c r="E148" s="86"/>
      <c r="F148" s="87"/>
      <c r="G148" s="65"/>
    </row>
    <row r="149" spans="1:7" ht="33" x14ac:dyDescent="0.25">
      <c r="A149" s="49"/>
      <c r="B149" s="88" t="s">
        <v>320</v>
      </c>
      <c r="C149" s="85">
        <f t="shared" si="18"/>
        <v>15000000</v>
      </c>
      <c r="D149" s="86">
        <v>15000000</v>
      </c>
      <c r="E149" s="86"/>
      <c r="F149" s="87"/>
      <c r="G149" s="65"/>
    </row>
    <row r="150" spans="1:7" x14ac:dyDescent="0.25">
      <c r="A150" s="49"/>
      <c r="B150" s="80" t="s">
        <v>310</v>
      </c>
      <c r="C150" s="85">
        <f t="shared" si="18"/>
        <v>14000000</v>
      </c>
      <c r="D150" s="86">
        <v>14000000</v>
      </c>
      <c r="E150" s="86"/>
      <c r="F150" s="87"/>
      <c r="G150" s="65"/>
    </row>
    <row r="151" spans="1:7" ht="33" x14ac:dyDescent="0.25">
      <c r="A151" s="49"/>
      <c r="B151" s="88" t="s">
        <v>321</v>
      </c>
      <c r="C151" s="85">
        <f t="shared" si="18"/>
        <v>5000000</v>
      </c>
      <c r="D151" s="86">
        <v>5000000</v>
      </c>
      <c r="E151" s="86"/>
      <c r="F151" s="87"/>
      <c r="G151" s="65"/>
    </row>
    <row r="152" spans="1:7" x14ac:dyDescent="0.25">
      <c r="A152" s="49"/>
      <c r="B152" s="88" t="s">
        <v>335</v>
      </c>
      <c r="C152" s="85">
        <f t="shared" si="18"/>
        <v>12000000</v>
      </c>
      <c r="D152" s="86">
        <v>12000000</v>
      </c>
      <c r="E152" s="86"/>
      <c r="F152" s="87"/>
      <c r="G152" s="65"/>
    </row>
    <row r="153" spans="1:7" x14ac:dyDescent="0.25">
      <c r="A153" s="49"/>
      <c r="B153" s="88" t="s">
        <v>417</v>
      </c>
      <c r="C153" s="85">
        <f t="shared" si="18"/>
        <v>40000000</v>
      </c>
      <c r="D153" s="86">
        <v>40000000</v>
      </c>
      <c r="E153" s="86"/>
      <c r="F153" s="87"/>
      <c r="G153" s="65"/>
    </row>
    <row r="154" spans="1:7" s="129" customFormat="1" ht="33" x14ac:dyDescent="0.25">
      <c r="A154" s="125" t="s">
        <v>1084</v>
      </c>
      <c r="B154" s="126" t="s">
        <v>1072</v>
      </c>
      <c r="C154" s="127">
        <f>C155+C161</f>
        <v>166000000</v>
      </c>
      <c r="D154" s="127">
        <f>D155+D161</f>
        <v>166000000</v>
      </c>
      <c r="E154" s="127">
        <f>E155+E161</f>
        <v>0</v>
      </c>
      <c r="F154" s="127">
        <f>F155+F161</f>
        <v>0</v>
      </c>
      <c r="G154" s="128"/>
    </row>
    <row r="155" spans="1:7" ht="33" x14ac:dyDescent="0.25">
      <c r="A155" s="49" t="s">
        <v>282</v>
      </c>
      <c r="B155" s="102" t="s">
        <v>448</v>
      </c>
      <c r="C155" s="66">
        <f>SUM(C156:C160)</f>
        <v>76000000</v>
      </c>
      <c r="D155" s="66">
        <f>SUM(D156:D160)</f>
        <v>76000000</v>
      </c>
      <c r="E155" s="66">
        <f>SUBTOTAL(9,E156:E160)</f>
        <v>0</v>
      </c>
      <c r="F155" s="66">
        <f>SUBTOTAL(9,F156:F160)</f>
        <v>0</v>
      </c>
      <c r="G155" s="65"/>
    </row>
    <row r="156" spans="1:7" x14ac:dyDescent="0.25">
      <c r="A156" s="49"/>
      <c r="B156" s="83" t="s">
        <v>400</v>
      </c>
      <c r="C156" s="81">
        <f>D156+F156+E156</f>
        <v>32000000</v>
      </c>
      <c r="D156" s="82">
        <v>32000000</v>
      </c>
      <c r="E156" s="82"/>
      <c r="F156" s="82"/>
      <c r="G156" s="65"/>
    </row>
    <row r="157" spans="1:7" x14ac:dyDescent="0.25">
      <c r="A157" s="49"/>
      <c r="B157" s="83" t="s">
        <v>401</v>
      </c>
      <c r="C157" s="81">
        <f>D157+F157+E157</f>
        <v>21000000</v>
      </c>
      <c r="D157" s="82">
        <v>21000000</v>
      </c>
      <c r="E157" s="82"/>
      <c r="F157" s="82"/>
      <c r="G157" s="65"/>
    </row>
    <row r="158" spans="1:7" x14ac:dyDescent="0.25">
      <c r="A158" s="49"/>
      <c r="B158" s="83" t="s">
        <v>402</v>
      </c>
      <c r="C158" s="81">
        <f>D158+F158+E158</f>
        <v>15000000</v>
      </c>
      <c r="D158" s="82">
        <v>15000000</v>
      </c>
      <c r="E158" s="82"/>
      <c r="F158" s="82"/>
      <c r="G158" s="65"/>
    </row>
    <row r="159" spans="1:7" x14ac:dyDescent="0.25">
      <c r="A159" s="49"/>
      <c r="B159" s="83" t="s">
        <v>307</v>
      </c>
      <c r="C159" s="81">
        <f>D159+F159+E159</f>
        <v>3000000</v>
      </c>
      <c r="D159" s="82">
        <v>3000000</v>
      </c>
      <c r="E159" s="82"/>
      <c r="F159" s="82"/>
      <c r="G159" s="65"/>
    </row>
    <row r="160" spans="1:7" x14ac:dyDescent="0.25">
      <c r="A160" s="49"/>
      <c r="B160" s="83" t="s">
        <v>308</v>
      </c>
      <c r="C160" s="81">
        <f>D160+F160+E160</f>
        <v>5000000</v>
      </c>
      <c r="D160" s="82">
        <v>5000000</v>
      </c>
      <c r="E160" s="82"/>
      <c r="F160" s="82"/>
      <c r="G160" s="65"/>
    </row>
    <row r="161" spans="1:7" ht="33" x14ac:dyDescent="0.25">
      <c r="A161" s="49" t="s">
        <v>283</v>
      </c>
      <c r="B161" s="102" t="s">
        <v>449</v>
      </c>
      <c r="C161" s="66">
        <f>SUM(C162:C166)</f>
        <v>90000000</v>
      </c>
      <c r="D161" s="66">
        <f>SUM(D162:D166)</f>
        <v>90000000</v>
      </c>
      <c r="E161" s="66">
        <f>SUBTOTAL(9,E162:E166)</f>
        <v>0</v>
      </c>
      <c r="F161" s="66">
        <f>SUBTOTAL(9,F162:F166)</f>
        <v>0</v>
      </c>
      <c r="G161" s="65"/>
    </row>
    <row r="162" spans="1:7" x14ac:dyDescent="0.25">
      <c r="A162" s="49"/>
      <c r="B162" s="80" t="s">
        <v>397</v>
      </c>
      <c r="C162" s="81">
        <f>D162+E162+F162</f>
        <v>15000000</v>
      </c>
      <c r="D162" s="82">
        <v>15000000</v>
      </c>
      <c r="E162" s="82"/>
      <c r="F162" s="82"/>
      <c r="G162" s="65"/>
    </row>
    <row r="163" spans="1:7" x14ac:dyDescent="0.25">
      <c r="A163" s="49"/>
      <c r="B163" s="80" t="s">
        <v>398</v>
      </c>
      <c r="C163" s="81">
        <f>D163+E163+F163</f>
        <v>25000000</v>
      </c>
      <c r="D163" s="82">
        <v>25000000</v>
      </c>
      <c r="E163" s="82"/>
      <c r="F163" s="82"/>
      <c r="G163" s="65"/>
    </row>
    <row r="164" spans="1:7" x14ac:dyDescent="0.25">
      <c r="A164" s="49"/>
      <c r="B164" s="83" t="s">
        <v>305</v>
      </c>
      <c r="C164" s="81">
        <f>D164+E164+F164</f>
        <v>15000000</v>
      </c>
      <c r="D164" s="82">
        <v>15000000</v>
      </c>
      <c r="E164" s="82"/>
      <c r="F164" s="82"/>
      <c r="G164" s="65"/>
    </row>
    <row r="165" spans="1:7" x14ac:dyDescent="0.25">
      <c r="A165" s="49"/>
      <c r="B165" s="80" t="s">
        <v>308</v>
      </c>
      <c r="C165" s="81">
        <f>D165+E165+F165</f>
        <v>25000000</v>
      </c>
      <c r="D165" s="82">
        <v>25000000</v>
      </c>
      <c r="E165" s="82"/>
      <c r="F165" s="82"/>
      <c r="G165" s="65"/>
    </row>
    <row r="166" spans="1:7" x14ac:dyDescent="0.25">
      <c r="A166" s="49"/>
      <c r="B166" s="88" t="s">
        <v>337</v>
      </c>
      <c r="C166" s="81">
        <f>D166+E166+F166</f>
        <v>10000000</v>
      </c>
      <c r="D166" s="86">
        <v>10000000</v>
      </c>
      <c r="E166" s="86"/>
      <c r="F166" s="87"/>
      <c r="G166" s="65"/>
    </row>
    <row r="167" spans="1:7" ht="33" x14ac:dyDescent="0.25">
      <c r="A167" s="125" t="s">
        <v>1085</v>
      </c>
      <c r="B167" s="126" t="s">
        <v>1073</v>
      </c>
      <c r="C167" s="127">
        <f>C168+C174</f>
        <v>154000000</v>
      </c>
      <c r="D167" s="127">
        <f>D168+D174</f>
        <v>154000000</v>
      </c>
      <c r="E167" s="127">
        <f>E168+E174</f>
        <v>0</v>
      </c>
      <c r="F167" s="127">
        <f>F168+F174</f>
        <v>0</v>
      </c>
      <c r="G167" s="65"/>
    </row>
    <row r="168" spans="1:7" ht="41.25" customHeight="1" x14ac:dyDescent="0.25">
      <c r="A168" s="49" t="s">
        <v>282</v>
      </c>
      <c r="B168" s="102" t="s">
        <v>1158</v>
      </c>
      <c r="C168" s="66">
        <f>SUM(C169:C173)</f>
        <v>68000000</v>
      </c>
      <c r="D168" s="66">
        <f>SUM(D169:D173)</f>
        <v>68000000</v>
      </c>
      <c r="E168" s="66">
        <f>SUBTOTAL(9,E169:E173)</f>
        <v>0</v>
      </c>
      <c r="F168" s="66">
        <f>SUBTOTAL(9,F169:F173)</f>
        <v>0</v>
      </c>
      <c r="G168" s="65"/>
    </row>
    <row r="169" spans="1:7" x14ac:dyDescent="0.25">
      <c r="A169" s="49"/>
      <c r="B169" s="83" t="s">
        <v>422</v>
      </c>
      <c r="C169" s="81">
        <f>D169+F169+E169</f>
        <v>25000000</v>
      </c>
      <c r="D169" s="82">
        <v>25000000</v>
      </c>
      <c r="E169" s="82"/>
      <c r="F169" s="82"/>
      <c r="G169" s="65"/>
    </row>
    <row r="170" spans="1:7" x14ac:dyDescent="0.25">
      <c r="A170" s="49"/>
      <c r="B170" s="83" t="s">
        <v>421</v>
      </c>
      <c r="C170" s="81">
        <f>D170+E170+F170</f>
        <v>18000000</v>
      </c>
      <c r="D170" s="82">
        <v>18000000</v>
      </c>
      <c r="E170" s="82"/>
      <c r="F170" s="82"/>
      <c r="G170" s="65"/>
    </row>
    <row r="171" spans="1:7" x14ac:dyDescent="0.25">
      <c r="A171" s="49"/>
      <c r="B171" s="83" t="s">
        <v>427</v>
      </c>
      <c r="C171" s="81">
        <f>D171+F171+E171</f>
        <v>17000000</v>
      </c>
      <c r="D171" s="82">
        <v>17000000</v>
      </c>
      <c r="E171" s="82"/>
      <c r="F171" s="82"/>
      <c r="G171" s="65"/>
    </row>
    <row r="172" spans="1:7" x14ac:dyDescent="0.25">
      <c r="A172" s="49"/>
      <c r="B172" s="83" t="s">
        <v>307</v>
      </c>
      <c r="C172" s="81">
        <f>D172+F172+E172</f>
        <v>3000000</v>
      </c>
      <c r="D172" s="82">
        <v>3000000</v>
      </c>
      <c r="E172" s="82"/>
      <c r="F172" s="82"/>
      <c r="G172" s="65"/>
    </row>
    <row r="173" spans="1:7" x14ac:dyDescent="0.25">
      <c r="A173" s="49"/>
      <c r="B173" s="83" t="s">
        <v>308</v>
      </c>
      <c r="C173" s="81">
        <f>D173+F173+E173</f>
        <v>5000000</v>
      </c>
      <c r="D173" s="82">
        <v>5000000</v>
      </c>
      <c r="E173" s="82"/>
      <c r="F173" s="82"/>
      <c r="G173" s="65"/>
    </row>
    <row r="174" spans="1:7" ht="33" x14ac:dyDescent="0.25">
      <c r="A174" s="49" t="s">
        <v>283</v>
      </c>
      <c r="B174" s="102" t="s">
        <v>423</v>
      </c>
      <c r="C174" s="66">
        <f>SUM(C175:C180)</f>
        <v>86000000</v>
      </c>
      <c r="D174" s="66">
        <f>SUM(D175:D180)</f>
        <v>86000000</v>
      </c>
      <c r="E174" s="66">
        <f>SUM(E175:E180)</f>
        <v>0</v>
      </c>
      <c r="F174" s="66">
        <f>SUM(F175:F180)</f>
        <v>0</v>
      </c>
      <c r="G174" s="65"/>
    </row>
    <row r="175" spans="1:7" x14ac:dyDescent="0.25">
      <c r="A175" s="49"/>
      <c r="B175" s="80" t="s">
        <v>424</v>
      </c>
      <c r="C175" s="81">
        <f t="shared" ref="C175:C180" si="19">D175+E175+F175</f>
        <v>28000000</v>
      </c>
      <c r="D175" s="82">
        <v>28000000</v>
      </c>
      <c r="E175" s="82"/>
      <c r="F175" s="82"/>
      <c r="G175" s="65"/>
    </row>
    <row r="176" spans="1:7" x14ac:dyDescent="0.25">
      <c r="A176" s="49"/>
      <c r="B176" s="80" t="s">
        <v>425</v>
      </c>
      <c r="C176" s="81">
        <f t="shared" si="19"/>
        <v>25000000</v>
      </c>
      <c r="D176" s="82">
        <v>25000000</v>
      </c>
      <c r="E176" s="82"/>
      <c r="F176" s="82"/>
      <c r="G176" s="65"/>
    </row>
    <row r="177" spans="1:7" x14ac:dyDescent="0.25">
      <c r="A177" s="49"/>
      <c r="B177" s="83" t="s">
        <v>305</v>
      </c>
      <c r="C177" s="81">
        <f t="shared" si="19"/>
        <v>15000000</v>
      </c>
      <c r="D177" s="82">
        <v>15000000</v>
      </c>
      <c r="E177" s="82"/>
      <c r="F177" s="82"/>
      <c r="G177" s="65"/>
    </row>
    <row r="178" spans="1:7" x14ac:dyDescent="0.25">
      <c r="A178" s="49"/>
      <c r="B178" s="80" t="s">
        <v>426</v>
      </c>
      <c r="C178" s="81">
        <f t="shared" si="19"/>
        <v>8000000</v>
      </c>
      <c r="D178" s="82">
        <v>8000000</v>
      </c>
      <c r="E178" s="82"/>
      <c r="F178" s="82"/>
      <c r="G178" s="65"/>
    </row>
    <row r="179" spans="1:7" x14ac:dyDescent="0.25">
      <c r="A179" s="49"/>
      <c r="B179" s="88" t="s">
        <v>450</v>
      </c>
      <c r="C179" s="81">
        <f t="shared" si="19"/>
        <v>5000000</v>
      </c>
      <c r="D179" s="86">
        <v>5000000</v>
      </c>
      <c r="E179" s="86"/>
      <c r="F179" s="87"/>
      <c r="G179" s="65"/>
    </row>
    <row r="180" spans="1:7" x14ac:dyDescent="0.25">
      <c r="A180" s="49"/>
      <c r="B180" s="83" t="s">
        <v>308</v>
      </c>
      <c r="C180" s="81">
        <f t="shared" si="19"/>
        <v>5000000</v>
      </c>
      <c r="D180" s="86">
        <v>5000000</v>
      </c>
      <c r="E180" s="86"/>
      <c r="F180" s="87"/>
      <c r="G180" s="65"/>
    </row>
    <row r="181" spans="1:7" x14ac:dyDescent="0.25">
      <c r="A181" s="49" t="s">
        <v>1089</v>
      </c>
      <c r="B181" s="48" t="s">
        <v>399</v>
      </c>
      <c r="C181" s="103">
        <f>SUM(C182:C221)</f>
        <v>136600000</v>
      </c>
      <c r="D181" s="103">
        <f>SUM(D182:D221)</f>
        <v>106600000</v>
      </c>
      <c r="E181" s="103">
        <f>SUM(E182:E221)</f>
        <v>30000000</v>
      </c>
      <c r="F181" s="103">
        <f>SUM(F182:F221)</f>
        <v>0</v>
      </c>
      <c r="G181" s="65"/>
    </row>
    <row r="182" spans="1:7" x14ac:dyDescent="0.25">
      <c r="A182" s="49" t="s">
        <v>255</v>
      </c>
      <c r="B182" s="88" t="s">
        <v>338</v>
      </c>
      <c r="C182" s="85"/>
      <c r="D182" s="86"/>
      <c r="E182" s="86"/>
      <c r="F182" s="87"/>
      <c r="G182" s="65"/>
    </row>
    <row r="183" spans="1:7" x14ac:dyDescent="0.25">
      <c r="A183" s="49"/>
      <c r="B183" s="88" t="s">
        <v>337</v>
      </c>
      <c r="C183" s="85">
        <f>D183+F183+E183</f>
        <v>10000000</v>
      </c>
      <c r="D183" s="86">
        <v>10000000</v>
      </c>
      <c r="E183" s="86"/>
      <c r="F183" s="87"/>
      <c r="G183" s="65"/>
    </row>
    <row r="184" spans="1:7" x14ac:dyDescent="0.25">
      <c r="A184" s="49"/>
      <c r="B184" s="88" t="s">
        <v>411</v>
      </c>
      <c r="C184" s="85">
        <f>D184+F184+E184</f>
        <v>15000000</v>
      </c>
      <c r="D184" s="86">
        <v>15000000</v>
      </c>
      <c r="E184" s="86"/>
      <c r="F184" s="87"/>
      <c r="G184" s="65"/>
    </row>
    <row r="185" spans="1:7" x14ac:dyDescent="0.25">
      <c r="A185" s="49"/>
      <c r="B185" s="88" t="s">
        <v>412</v>
      </c>
      <c r="C185" s="85">
        <f>D185+F185+E185</f>
        <v>15000000</v>
      </c>
      <c r="D185" s="86">
        <v>15000000</v>
      </c>
      <c r="E185" s="86"/>
      <c r="F185" s="87"/>
      <c r="G185" s="65"/>
    </row>
    <row r="186" spans="1:7" x14ac:dyDescent="0.25">
      <c r="A186" s="49"/>
      <c r="B186" s="88" t="s">
        <v>413</v>
      </c>
      <c r="C186" s="85">
        <f>D186+F186+E186</f>
        <v>10000000</v>
      </c>
      <c r="D186" s="86">
        <v>10000000</v>
      </c>
      <c r="E186" s="86"/>
      <c r="F186" s="87"/>
      <c r="G186" s="65"/>
    </row>
    <row r="187" spans="1:7" x14ac:dyDescent="0.25">
      <c r="A187" s="49" t="s">
        <v>255</v>
      </c>
      <c r="B187" s="88" t="s">
        <v>339</v>
      </c>
      <c r="C187" s="85"/>
      <c r="D187" s="86"/>
      <c r="E187" s="86"/>
      <c r="F187" s="87"/>
      <c r="G187" s="65"/>
    </row>
    <row r="188" spans="1:7" x14ac:dyDescent="0.25">
      <c r="A188" s="49"/>
      <c r="B188" s="88" t="s">
        <v>337</v>
      </c>
      <c r="C188" s="85">
        <f>D188+F188+E188</f>
        <v>10000000</v>
      </c>
      <c r="D188" s="86">
        <v>10000000</v>
      </c>
      <c r="E188" s="86"/>
      <c r="F188" s="87"/>
      <c r="G188" s="65"/>
    </row>
    <row r="189" spans="1:7" x14ac:dyDescent="0.25">
      <c r="A189" s="49"/>
      <c r="B189" s="88" t="s">
        <v>340</v>
      </c>
      <c r="C189" s="85">
        <f>D189+F189+E189</f>
        <v>25000000</v>
      </c>
      <c r="D189" s="86">
        <v>25000000</v>
      </c>
      <c r="E189" s="86"/>
      <c r="F189" s="87"/>
      <c r="G189" s="65"/>
    </row>
    <row r="190" spans="1:7" x14ac:dyDescent="0.25">
      <c r="A190" s="49" t="s">
        <v>255</v>
      </c>
      <c r="B190" s="88" t="s">
        <v>322</v>
      </c>
      <c r="C190" s="85"/>
      <c r="D190" s="86"/>
      <c r="E190" s="86"/>
      <c r="F190" s="87"/>
      <c r="G190" s="65"/>
    </row>
    <row r="191" spans="1:7" x14ac:dyDescent="0.25">
      <c r="A191" s="49"/>
      <c r="B191" s="88" t="s">
        <v>323</v>
      </c>
      <c r="C191" s="85">
        <f>D191+E191+F191</f>
        <v>500000</v>
      </c>
      <c r="D191" s="86"/>
      <c r="E191" s="86">
        <v>500000</v>
      </c>
      <c r="F191" s="87"/>
      <c r="G191" s="65"/>
    </row>
    <row r="192" spans="1:7" x14ac:dyDescent="0.25">
      <c r="A192" s="49"/>
      <c r="B192" s="88" t="s">
        <v>330</v>
      </c>
      <c r="C192" s="85">
        <f t="shared" ref="C192:C209" si="20">D192+E192+F192</f>
        <v>500000</v>
      </c>
      <c r="D192" s="86"/>
      <c r="E192" s="86">
        <v>500000</v>
      </c>
      <c r="F192" s="87"/>
      <c r="G192" s="65"/>
    </row>
    <row r="193" spans="1:7" x14ac:dyDescent="0.25">
      <c r="A193" s="49"/>
      <c r="B193" s="88" t="s">
        <v>324</v>
      </c>
      <c r="C193" s="85">
        <f t="shared" si="20"/>
        <v>4000000</v>
      </c>
      <c r="D193" s="86"/>
      <c r="E193" s="86">
        <v>4000000</v>
      </c>
      <c r="F193" s="87"/>
      <c r="G193" s="65"/>
    </row>
    <row r="194" spans="1:7" x14ac:dyDescent="0.25">
      <c r="A194" s="49"/>
      <c r="B194" s="88" t="s">
        <v>1159</v>
      </c>
      <c r="C194" s="85">
        <f t="shared" si="20"/>
        <v>2500000</v>
      </c>
      <c r="D194" s="86"/>
      <c r="E194" s="86">
        <v>2500000</v>
      </c>
      <c r="F194" s="87"/>
      <c r="G194" s="65"/>
    </row>
    <row r="195" spans="1:7" x14ac:dyDescent="0.25">
      <c r="A195" s="49"/>
      <c r="B195" s="88" t="s">
        <v>325</v>
      </c>
      <c r="C195" s="85">
        <f t="shared" si="20"/>
        <v>800000</v>
      </c>
      <c r="D195" s="86"/>
      <c r="E195" s="86">
        <v>800000</v>
      </c>
      <c r="F195" s="87"/>
      <c r="G195" s="65"/>
    </row>
    <row r="196" spans="1:7" x14ac:dyDescent="0.25">
      <c r="A196" s="49"/>
      <c r="B196" s="88" t="s">
        <v>326</v>
      </c>
      <c r="C196" s="85">
        <f t="shared" si="20"/>
        <v>600000</v>
      </c>
      <c r="D196" s="86"/>
      <c r="E196" s="86">
        <v>600000</v>
      </c>
      <c r="F196" s="87"/>
      <c r="G196" s="65"/>
    </row>
    <row r="197" spans="1:7" x14ac:dyDescent="0.25">
      <c r="A197" s="49"/>
      <c r="B197" s="88" t="s">
        <v>327</v>
      </c>
      <c r="C197" s="85">
        <f t="shared" si="20"/>
        <v>2500000</v>
      </c>
      <c r="D197" s="86"/>
      <c r="E197" s="86">
        <v>2500000</v>
      </c>
      <c r="F197" s="87"/>
      <c r="G197" s="65"/>
    </row>
    <row r="198" spans="1:7" x14ac:dyDescent="0.25">
      <c r="A198" s="49" t="s">
        <v>255</v>
      </c>
      <c r="B198" s="88" t="s">
        <v>328</v>
      </c>
      <c r="C198" s="85"/>
      <c r="D198" s="86"/>
      <c r="E198" s="86"/>
      <c r="F198" s="87"/>
      <c r="G198" s="65"/>
    </row>
    <row r="199" spans="1:7" x14ac:dyDescent="0.25">
      <c r="A199" s="49"/>
      <c r="B199" s="88" t="s">
        <v>329</v>
      </c>
      <c r="C199" s="85">
        <f t="shared" si="20"/>
        <v>400000</v>
      </c>
      <c r="D199" s="86"/>
      <c r="E199" s="86">
        <v>400000</v>
      </c>
      <c r="F199" s="87"/>
      <c r="G199" s="65"/>
    </row>
    <row r="200" spans="1:7" x14ac:dyDescent="0.25">
      <c r="A200" s="49"/>
      <c r="B200" s="88" t="s">
        <v>331</v>
      </c>
      <c r="C200" s="85">
        <f t="shared" si="20"/>
        <v>400000</v>
      </c>
      <c r="D200" s="86"/>
      <c r="E200" s="86">
        <v>400000</v>
      </c>
      <c r="F200" s="87"/>
      <c r="G200" s="65"/>
    </row>
    <row r="201" spans="1:7" x14ac:dyDescent="0.25">
      <c r="A201" s="49"/>
      <c r="B201" s="88" t="s">
        <v>324</v>
      </c>
      <c r="C201" s="85">
        <f t="shared" si="20"/>
        <v>5000000</v>
      </c>
      <c r="D201" s="86"/>
      <c r="E201" s="86">
        <v>5000000</v>
      </c>
      <c r="F201" s="87"/>
      <c r="G201" s="65"/>
    </row>
    <row r="202" spans="1:7" x14ac:dyDescent="0.25">
      <c r="A202" s="49"/>
      <c r="B202" s="88" t="s">
        <v>1159</v>
      </c>
      <c r="C202" s="85">
        <f t="shared" si="20"/>
        <v>2500000</v>
      </c>
      <c r="D202" s="86"/>
      <c r="E202" s="86">
        <v>2500000</v>
      </c>
      <c r="F202" s="87"/>
      <c r="G202" s="65"/>
    </row>
    <row r="203" spans="1:7" x14ac:dyDescent="0.25">
      <c r="A203" s="49"/>
      <c r="B203" s="88" t="s">
        <v>327</v>
      </c>
      <c r="C203" s="85">
        <f t="shared" si="20"/>
        <v>2500000</v>
      </c>
      <c r="D203" s="86"/>
      <c r="E203" s="86">
        <v>2500000</v>
      </c>
      <c r="F203" s="87"/>
      <c r="G203" s="65"/>
    </row>
    <row r="204" spans="1:7" x14ac:dyDescent="0.25">
      <c r="A204" s="49" t="s">
        <v>255</v>
      </c>
      <c r="B204" s="88" t="s">
        <v>332</v>
      </c>
      <c r="C204" s="85"/>
      <c r="D204" s="86"/>
      <c r="E204" s="86"/>
      <c r="F204" s="87"/>
      <c r="G204" s="65"/>
    </row>
    <row r="205" spans="1:7" x14ac:dyDescent="0.25">
      <c r="A205" s="49"/>
      <c r="B205" s="88" t="s">
        <v>329</v>
      </c>
      <c r="C205" s="85">
        <f t="shared" si="20"/>
        <v>400000</v>
      </c>
      <c r="D205" s="86"/>
      <c r="E205" s="86">
        <v>400000</v>
      </c>
      <c r="F205" s="87"/>
      <c r="G205" s="65"/>
    </row>
    <row r="206" spans="1:7" x14ac:dyDescent="0.25">
      <c r="A206" s="49"/>
      <c r="B206" s="88" t="s">
        <v>331</v>
      </c>
      <c r="C206" s="85">
        <f t="shared" si="20"/>
        <v>400000</v>
      </c>
      <c r="D206" s="86"/>
      <c r="E206" s="86">
        <v>400000</v>
      </c>
      <c r="F206" s="87"/>
      <c r="G206" s="65"/>
    </row>
    <row r="207" spans="1:7" x14ac:dyDescent="0.25">
      <c r="A207" s="49"/>
      <c r="B207" s="88" t="s">
        <v>324</v>
      </c>
      <c r="C207" s="85">
        <f t="shared" si="20"/>
        <v>2000000</v>
      </c>
      <c r="D207" s="86"/>
      <c r="E207" s="86">
        <v>2000000</v>
      </c>
      <c r="F207" s="87"/>
      <c r="G207" s="65"/>
    </row>
    <row r="208" spans="1:7" x14ac:dyDescent="0.25">
      <c r="A208" s="49"/>
      <c r="B208" s="88" t="s">
        <v>1159</v>
      </c>
      <c r="C208" s="85">
        <f t="shared" si="20"/>
        <v>2500000</v>
      </c>
      <c r="D208" s="86"/>
      <c r="E208" s="86">
        <v>2500000</v>
      </c>
      <c r="F208" s="87"/>
      <c r="G208" s="65"/>
    </row>
    <row r="209" spans="1:7" x14ac:dyDescent="0.25">
      <c r="A209" s="49"/>
      <c r="B209" s="88" t="s">
        <v>327</v>
      </c>
      <c r="C209" s="85">
        <f t="shared" si="20"/>
        <v>2500000</v>
      </c>
      <c r="D209" s="86"/>
      <c r="E209" s="86">
        <v>2500000</v>
      </c>
      <c r="F209" s="87"/>
      <c r="G209" s="65"/>
    </row>
    <row r="210" spans="1:7" x14ac:dyDescent="0.25">
      <c r="A210" s="49" t="s">
        <v>255</v>
      </c>
      <c r="B210" s="88" t="s">
        <v>333</v>
      </c>
      <c r="C210" s="85"/>
      <c r="D210" s="86"/>
      <c r="E210" s="86"/>
      <c r="F210" s="87"/>
      <c r="G210" s="65"/>
    </row>
    <row r="211" spans="1:7" x14ac:dyDescent="0.25">
      <c r="A211" s="49"/>
      <c r="B211" s="88" t="s">
        <v>329</v>
      </c>
      <c r="C211" s="85">
        <f>D211+E211+F211</f>
        <v>400000</v>
      </c>
      <c r="D211" s="86">
        <v>400000</v>
      </c>
      <c r="E211" s="86"/>
      <c r="F211" s="87"/>
      <c r="G211" s="65"/>
    </row>
    <row r="212" spans="1:7" x14ac:dyDescent="0.25">
      <c r="A212" s="49"/>
      <c r="B212" s="88" t="s">
        <v>331</v>
      </c>
      <c r="C212" s="85">
        <f>D212+E212+F212</f>
        <v>400000</v>
      </c>
      <c r="D212" s="86">
        <v>400000</v>
      </c>
      <c r="E212" s="86"/>
      <c r="F212" s="87"/>
      <c r="G212" s="65"/>
    </row>
    <row r="213" spans="1:7" x14ac:dyDescent="0.25">
      <c r="A213" s="49"/>
      <c r="B213" s="88" t="s">
        <v>324</v>
      </c>
      <c r="C213" s="85">
        <f>D213+E213+F213</f>
        <v>5000000</v>
      </c>
      <c r="D213" s="86">
        <v>5000000</v>
      </c>
      <c r="E213" s="86"/>
      <c r="F213" s="87"/>
      <c r="G213" s="65"/>
    </row>
    <row r="214" spans="1:7" x14ac:dyDescent="0.25">
      <c r="A214" s="49"/>
      <c r="B214" s="88" t="s">
        <v>1159</v>
      </c>
      <c r="C214" s="85">
        <f>D214+E214+F214</f>
        <v>2500000</v>
      </c>
      <c r="D214" s="86">
        <v>2500000</v>
      </c>
      <c r="E214" s="86"/>
      <c r="F214" s="87"/>
      <c r="G214" s="65"/>
    </row>
    <row r="215" spans="1:7" x14ac:dyDescent="0.25">
      <c r="A215" s="49"/>
      <c r="B215" s="88" t="s">
        <v>327</v>
      </c>
      <c r="C215" s="85">
        <f>D215+E215+F215</f>
        <v>2500000</v>
      </c>
      <c r="D215" s="86">
        <v>2500000</v>
      </c>
      <c r="E215" s="86"/>
      <c r="F215" s="87"/>
      <c r="G215" s="65"/>
    </row>
    <row r="216" spans="1:7" x14ac:dyDescent="0.25">
      <c r="A216" s="49" t="s">
        <v>255</v>
      </c>
      <c r="B216" s="88" t="s">
        <v>334</v>
      </c>
      <c r="C216" s="85"/>
      <c r="D216" s="86"/>
      <c r="E216" s="86"/>
      <c r="F216" s="87"/>
      <c r="G216" s="65"/>
    </row>
    <row r="217" spans="1:7" x14ac:dyDescent="0.25">
      <c r="A217" s="49"/>
      <c r="B217" s="88" t="s">
        <v>329</v>
      </c>
      <c r="C217" s="85">
        <f>D217+E217+F217</f>
        <v>400000</v>
      </c>
      <c r="D217" s="86">
        <v>400000</v>
      </c>
      <c r="E217" s="86"/>
      <c r="F217" s="87"/>
      <c r="G217" s="65"/>
    </row>
    <row r="218" spans="1:7" x14ac:dyDescent="0.25">
      <c r="A218" s="49"/>
      <c r="B218" s="88" t="s">
        <v>331</v>
      </c>
      <c r="C218" s="85">
        <f>D218+E218+F218</f>
        <v>400000</v>
      </c>
      <c r="D218" s="86">
        <v>400000</v>
      </c>
      <c r="E218" s="86"/>
      <c r="F218" s="87"/>
      <c r="G218" s="65"/>
    </row>
    <row r="219" spans="1:7" x14ac:dyDescent="0.25">
      <c r="A219" s="49"/>
      <c r="B219" s="88" t="s">
        <v>324</v>
      </c>
      <c r="C219" s="85">
        <f>D219+E219+F219</f>
        <v>5000000</v>
      </c>
      <c r="D219" s="86">
        <v>5000000</v>
      </c>
      <c r="E219" s="86"/>
      <c r="F219" s="87"/>
      <c r="G219" s="65"/>
    </row>
    <row r="220" spans="1:7" x14ac:dyDescent="0.25">
      <c r="A220" s="49"/>
      <c r="B220" s="88" t="s">
        <v>1159</v>
      </c>
      <c r="C220" s="85">
        <f>D220+E220+F220</f>
        <v>2500000</v>
      </c>
      <c r="D220" s="86">
        <v>2500000</v>
      </c>
      <c r="E220" s="86"/>
      <c r="F220" s="87"/>
      <c r="G220" s="65"/>
    </row>
    <row r="221" spans="1:7" x14ac:dyDescent="0.25">
      <c r="A221" s="49"/>
      <c r="B221" s="88" t="s">
        <v>327</v>
      </c>
      <c r="C221" s="85">
        <f>D221+E221+F221</f>
        <v>2500000</v>
      </c>
      <c r="D221" s="86">
        <v>2500000</v>
      </c>
      <c r="E221" s="86"/>
      <c r="F221" s="87"/>
      <c r="G221" s="65"/>
    </row>
    <row r="222" spans="1:7" x14ac:dyDescent="0.25">
      <c r="A222" s="49" t="s">
        <v>559</v>
      </c>
      <c r="B222" s="579" t="s">
        <v>1036</v>
      </c>
      <c r="C222" s="66">
        <f>SUM(C223:C236)</f>
        <v>281303486</v>
      </c>
      <c r="D222" s="66">
        <f>SUM(D223:D236)</f>
        <v>119000000</v>
      </c>
      <c r="E222" s="66">
        <f>SUM(E223:E236)</f>
        <v>162303486</v>
      </c>
      <c r="F222" s="66">
        <f t="shared" ref="F222" si="21">SUM(F223:F236)</f>
        <v>0</v>
      </c>
      <c r="G222" s="65"/>
    </row>
    <row r="223" spans="1:7" ht="33" x14ac:dyDescent="0.25">
      <c r="A223" s="49"/>
      <c r="B223" s="579" t="s">
        <v>1037</v>
      </c>
      <c r="C223" s="62">
        <f t="shared" ref="C223:C236" si="22">D223+E223+F223</f>
        <v>79000000</v>
      </c>
      <c r="D223" s="580">
        <v>79000000</v>
      </c>
      <c r="E223" s="62"/>
      <c r="F223" s="62"/>
      <c r="G223" s="62"/>
    </row>
    <row r="224" spans="1:7" x14ac:dyDescent="0.25">
      <c r="A224" s="49"/>
      <c r="B224" s="579" t="s">
        <v>1038</v>
      </c>
      <c r="C224" s="62">
        <f t="shared" si="22"/>
        <v>20000000</v>
      </c>
      <c r="D224" s="580">
        <v>20000000</v>
      </c>
      <c r="E224" s="62"/>
      <c r="F224" s="62"/>
      <c r="G224" s="62"/>
    </row>
    <row r="225" spans="1:7" ht="33" x14ac:dyDescent="0.25">
      <c r="A225" s="49"/>
      <c r="B225" s="579" t="s">
        <v>1039</v>
      </c>
      <c r="C225" s="62">
        <f t="shared" si="22"/>
        <v>20000000</v>
      </c>
      <c r="D225" s="580">
        <v>20000000</v>
      </c>
      <c r="E225" s="62"/>
      <c r="F225" s="62"/>
      <c r="G225" s="62"/>
    </row>
    <row r="226" spans="1:7" s="99" customFormat="1" ht="33" x14ac:dyDescent="0.25">
      <c r="A226" s="97"/>
      <c r="B226" s="98" t="s">
        <v>1094</v>
      </c>
      <c r="C226" s="62">
        <f t="shared" si="22"/>
        <v>30000000</v>
      </c>
      <c r="D226" s="551"/>
      <c r="E226" s="64">
        <v>30000000</v>
      </c>
      <c r="F226" s="64"/>
      <c r="G226" s="101"/>
    </row>
    <row r="227" spans="1:7" s="99" customFormat="1" x14ac:dyDescent="0.25">
      <c r="A227" s="97"/>
      <c r="B227" s="98" t="s">
        <v>246</v>
      </c>
      <c r="C227" s="62">
        <f t="shared" si="22"/>
        <v>5000000</v>
      </c>
      <c r="D227" s="551"/>
      <c r="E227" s="64">
        <v>5000000</v>
      </c>
      <c r="F227" s="64"/>
      <c r="G227" s="101"/>
    </row>
    <row r="228" spans="1:7" s="99" customFormat="1" x14ac:dyDescent="0.25">
      <c r="A228" s="97"/>
      <c r="B228" s="98" t="s">
        <v>247</v>
      </c>
      <c r="C228" s="62">
        <f t="shared" si="22"/>
        <v>1000000</v>
      </c>
      <c r="D228" s="551"/>
      <c r="E228" s="64">
        <v>1000000</v>
      </c>
      <c r="F228" s="64"/>
      <c r="G228" s="101"/>
    </row>
    <row r="229" spans="1:7" s="99" customFormat="1" x14ac:dyDescent="0.25">
      <c r="A229" s="97"/>
      <c r="B229" s="98" t="s">
        <v>248</v>
      </c>
      <c r="C229" s="62">
        <f t="shared" si="22"/>
        <v>20000000</v>
      </c>
      <c r="D229" s="551"/>
      <c r="E229" s="64">
        <v>20000000</v>
      </c>
      <c r="F229" s="64"/>
      <c r="G229" s="101"/>
    </row>
    <row r="230" spans="1:7" s="99" customFormat="1" x14ac:dyDescent="0.25">
      <c r="A230" s="97"/>
      <c r="B230" s="98" t="s">
        <v>249</v>
      </c>
      <c r="C230" s="62">
        <f t="shared" si="22"/>
        <v>10000000</v>
      </c>
      <c r="D230" s="551"/>
      <c r="E230" s="64">
        <v>10000000</v>
      </c>
      <c r="F230" s="64"/>
      <c r="G230" s="101"/>
    </row>
    <row r="231" spans="1:7" s="99" customFormat="1" x14ac:dyDescent="0.25">
      <c r="A231" s="97"/>
      <c r="B231" s="98" t="s">
        <v>250</v>
      </c>
      <c r="C231" s="62">
        <f t="shared" si="22"/>
        <v>25000000</v>
      </c>
      <c r="D231" s="551"/>
      <c r="E231" s="64">
        <v>25000000</v>
      </c>
      <c r="F231" s="64"/>
      <c r="G231" s="101"/>
    </row>
    <row r="232" spans="1:7" s="99" customFormat="1" x14ac:dyDescent="0.25">
      <c r="A232" s="97"/>
      <c r="B232" s="98" t="s">
        <v>251</v>
      </c>
      <c r="C232" s="62">
        <f t="shared" si="22"/>
        <v>10000000</v>
      </c>
      <c r="D232" s="551"/>
      <c r="E232" s="64">
        <v>10000000</v>
      </c>
      <c r="F232" s="64"/>
      <c r="G232" s="101"/>
    </row>
    <row r="233" spans="1:7" s="99" customFormat="1" x14ac:dyDescent="0.25">
      <c r="A233" s="97"/>
      <c r="B233" s="98" t="s">
        <v>252</v>
      </c>
      <c r="C233" s="62">
        <f t="shared" si="22"/>
        <v>1000000</v>
      </c>
      <c r="D233" s="551"/>
      <c r="E233" s="64">
        <v>1000000</v>
      </c>
      <c r="F233" s="64"/>
      <c r="G233" s="101"/>
    </row>
    <row r="234" spans="1:7" s="99" customFormat="1" ht="33" x14ac:dyDescent="0.25">
      <c r="A234" s="97"/>
      <c r="B234" s="98" t="s">
        <v>274</v>
      </c>
      <c r="C234" s="62">
        <f t="shared" si="22"/>
        <v>10000000</v>
      </c>
      <c r="D234" s="551"/>
      <c r="E234" s="64">
        <v>10000000</v>
      </c>
      <c r="F234" s="64"/>
      <c r="G234" s="101"/>
    </row>
    <row r="235" spans="1:7" s="99" customFormat="1" x14ac:dyDescent="0.25">
      <c r="A235" s="97"/>
      <c r="B235" s="98" t="s">
        <v>253</v>
      </c>
      <c r="C235" s="62">
        <f t="shared" si="22"/>
        <v>40000000</v>
      </c>
      <c r="D235" s="551"/>
      <c r="E235" s="64">
        <v>40000000</v>
      </c>
      <c r="F235" s="64"/>
      <c r="G235" s="101"/>
    </row>
    <row r="236" spans="1:7" s="99" customFormat="1" x14ac:dyDescent="0.25">
      <c r="A236" s="97"/>
      <c r="B236" s="98" t="s">
        <v>254</v>
      </c>
      <c r="C236" s="62">
        <f t="shared" si="22"/>
        <v>10303486</v>
      </c>
      <c r="D236" s="551"/>
      <c r="E236" s="64">
        <v>10303486</v>
      </c>
      <c r="F236" s="64"/>
      <c r="G236" s="101"/>
    </row>
    <row r="237" spans="1:7" s="99" customFormat="1" x14ac:dyDescent="0.25">
      <c r="A237" s="97" t="s">
        <v>1047</v>
      </c>
      <c r="B237" s="48" t="s">
        <v>1082</v>
      </c>
      <c r="C237" s="62">
        <f>SUM(C238:C241)</f>
        <v>1006400000</v>
      </c>
      <c r="D237" s="62">
        <f>SUM(D238:D241)</f>
        <v>642400000</v>
      </c>
      <c r="E237" s="62">
        <f t="shared" ref="E237:F237" si="23">SUM(E239:E241)</f>
        <v>154000000</v>
      </c>
      <c r="F237" s="62">
        <f t="shared" si="23"/>
        <v>210000000</v>
      </c>
      <c r="G237" s="101"/>
    </row>
    <row r="238" spans="1:7" s="664" customFormat="1" ht="37.5" x14ac:dyDescent="0.3">
      <c r="A238" s="581"/>
      <c r="B238" s="663" t="s">
        <v>1044</v>
      </c>
      <c r="C238" s="64">
        <f t="shared" ref="C238:C239" si="24">D238+E238+F238</f>
        <v>632400000</v>
      </c>
      <c r="D238" s="64">
        <v>632400000</v>
      </c>
      <c r="E238" s="64"/>
      <c r="F238" s="93"/>
      <c r="G238" s="93"/>
    </row>
    <row r="239" spans="1:7" s="99" customFormat="1" ht="33" x14ac:dyDescent="0.25">
      <c r="A239" s="97"/>
      <c r="B239" s="98" t="s">
        <v>1043</v>
      </c>
      <c r="C239" s="64">
        <f t="shared" si="24"/>
        <v>10000000</v>
      </c>
      <c r="D239" s="64">
        <f>2*5000000</f>
        <v>10000000</v>
      </c>
      <c r="E239" s="64"/>
      <c r="F239" s="64"/>
      <c r="G239" s="64"/>
    </row>
    <row r="240" spans="1:7" s="99" customFormat="1" ht="33" x14ac:dyDescent="0.25">
      <c r="A240" s="97"/>
      <c r="B240" s="98" t="s">
        <v>459</v>
      </c>
      <c r="C240" s="64">
        <f>D240+E240+F240</f>
        <v>210000000</v>
      </c>
      <c r="D240" s="64"/>
      <c r="E240" s="64"/>
      <c r="F240" s="64">
        <f>15*7000000*2</f>
        <v>210000000</v>
      </c>
      <c r="G240" s="64"/>
    </row>
    <row r="241" spans="1:7" s="99" customFormat="1" ht="33" x14ac:dyDescent="0.25">
      <c r="A241" s="97"/>
      <c r="B241" s="98" t="s">
        <v>1103</v>
      </c>
      <c r="C241" s="64">
        <f>D241+E241+F241</f>
        <v>154000000</v>
      </c>
      <c r="D241" s="64"/>
      <c r="E241" s="64">
        <f>11*7000000*2</f>
        <v>154000000</v>
      </c>
      <c r="F241" s="64"/>
      <c r="G241" s="64"/>
    </row>
    <row r="242" spans="1:7" x14ac:dyDescent="0.25">
      <c r="A242" s="49" t="s">
        <v>1048</v>
      </c>
      <c r="B242" s="48" t="s">
        <v>19</v>
      </c>
      <c r="C242" s="66">
        <f>SUM(C243:C260)</f>
        <v>1110756346</v>
      </c>
      <c r="D242" s="582">
        <f>SUM(D243:D260)</f>
        <v>494718184</v>
      </c>
      <c r="E242" s="582">
        <f>SUM(E243:E260)</f>
        <v>90777478</v>
      </c>
      <c r="F242" s="582">
        <f>SUBTOTAL(9,F243:F260)</f>
        <v>525260684</v>
      </c>
      <c r="G242" s="65"/>
    </row>
    <row r="243" spans="1:7" ht="33" x14ac:dyDescent="0.25">
      <c r="A243" s="49"/>
      <c r="B243" s="88" t="s">
        <v>1045</v>
      </c>
      <c r="C243" s="583">
        <f>D243+E243+F243</f>
        <v>48000000</v>
      </c>
      <c r="D243" s="584">
        <v>30000000</v>
      </c>
      <c r="E243" s="584">
        <v>18000000</v>
      </c>
      <c r="F243" s="585"/>
      <c r="G243" s="65"/>
    </row>
    <row r="244" spans="1:7" x14ac:dyDescent="0.25">
      <c r="A244" s="49"/>
      <c r="B244" s="88" t="s">
        <v>374</v>
      </c>
      <c r="C244" s="586">
        <f>D244+E244+F244</f>
        <v>17777478</v>
      </c>
      <c r="D244" s="585">
        <v>10000000</v>
      </c>
      <c r="E244" s="585">
        <v>7777478</v>
      </c>
      <c r="F244" s="587"/>
      <c r="G244" s="65"/>
    </row>
    <row r="245" spans="1:7" ht="33" x14ac:dyDescent="0.25">
      <c r="A245" s="49"/>
      <c r="B245" s="88" t="s">
        <v>375</v>
      </c>
      <c r="C245" s="586">
        <f t="shared" ref="C245:C248" si="25">D245+E245+F245</f>
        <v>30000000</v>
      </c>
      <c r="D245" s="585">
        <v>20000000</v>
      </c>
      <c r="E245" s="585">
        <v>10000000</v>
      </c>
      <c r="F245" s="587"/>
      <c r="G245" s="65"/>
    </row>
    <row r="246" spans="1:7" ht="33" x14ac:dyDescent="0.25">
      <c r="A246" s="49"/>
      <c r="B246" s="88" t="s">
        <v>451</v>
      </c>
      <c r="C246" s="586">
        <f t="shared" si="25"/>
        <v>35000000</v>
      </c>
      <c r="D246" s="585">
        <v>15000000</v>
      </c>
      <c r="E246" s="585"/>
      <c r="F246" s="584">
        <v>20000000</v>
      </c>
      <c r="G246" s="65"/>
    </row>
    <row r="247" spans="1:7" x14ac:dyDescent="0.25">
      <c r="A247" s="49"/>
      <c r="B247" s="88" t="s">
        <v>262</v>
      </c>
      <c r="C247" s="586">
        <f t="shared" si="25"/>
        <v>125000000</v>
      </c>
      <c r="D247" s="585">
        <v>55000000</v>
      </c>
      <c r="E247" s="585">
        <v>20000000</v>
      </c>
      <c r="F247" s="584">
        <v>50000000</v>
      </c>
      <c r="G247" s="65"/>
    </row>
    <row r="248" spans="1:7" ht="33" x14ac:dyDescent="0.25">
      <c r="A248" s="49"/>
      <c r="B248" s="88" t="s">
        <v>263</v>
      </c>
      <c r="C248" s="586">
        <f t="shared" si="25"/>
        <v>20000000</v>
      </c>
      <c r="D248" s="585">
        <v>20000000</v>
      </c>
      <c r="E248" s="585"/>
      <c r="F248" s="587"/>
      <c r="G248" s="65"/>
    </row>
    <row r="249" spans="1:7" s="99" customFormat="1" ht="33" x14ac:dyDescent="0.25">
      <c r="A249" s="97"/>
      <c r="B249" s="98" t="s">
        <v>284</v>
      </c>
      <c r="C249" s="81">
        <f>D249+E249+F249</f>
        <v>60000000</v>
      </c>
      <c r="D249" s="64">
        <v>30000000</v>
      </c>
      <c r="E249" s="64"/>
      <c r="F249" s="64">
        <v>30000000</v>
      </c>
      <c r="G249" s="101"/>
    </row>
    <row r="250" spans="1:7" s="99" customFormat="1" ht="33" x14ac:dyDescent="0.25">
      <c r="A250" s="97"/>
      <c r="B250" s="98" t="s">
        <v>363</v>
      </c>
      <c r="C250" s="81">
        <f>D250+E250+F250</f>
        <v>120000000</v>
      </c>
      <c r="D250" s="64">
        <v>50000000</v>
      </c>
      <c r="E250" s="64">
        <v>20000000</v>
      </c>
      <c r="F250" s="64">
        <v>50000000</v>
      </c>
      <c r="G250" s="101"/>
    </row>
    <row r="251" spans="1:7" s="99" customFormat="1" ht="33" x14ac:dyDescent="0.25">
      <c r="A251" s="97"/>
      <c r="B251" s="98" t="s">
        <v>365</v>
      </c>
      <c r="C251" s="81">
        <f>D251+E251+F251</f>
        <v>100000000</v>
      </c>
      <c r="D251" s="64">
        <v>50000000</v>
      </c>
      <c r="E251" s="64"/>
      <c r="F251" s="64">
        <v>50000000</v>
      </c>
      <c r="G251" s="101"/>
    </row>
    <row r="252" spans="1:7" ht="49.5" x14ac:dyDescent="0.25">
      <c r="A252" s="49"/>
      <c r="B252" s="98" t="s">
        <v>1069</v>
      </c>
      <c r="C252" s="574">
        <f t="shared" ref="C252:C258" si="26">D252+E252+F252</f>
        <v>48000000</v>
      </c>
      <c r="D252" s="575">
        <v>48000000</v>
      </c>
      <c r="E252" s="575"/>
      <c r="F252" s="580"/>
      <c r="G252" s="65"/>
    </row>
    <row r="253" spans="1:7" ht="33" x14ac:dyDescent="0.25">
      <c r="A253" s="49"/>
      <c r="B253" s="98" t="s">
        <v>370</v>
      </c>
      <c r="C253" s="574">
        <f t="shared" si="26"/>
        <v>15000000</v>
      </c>
      <c r="D253" s="575"/>
      <c r="E253" s="575">
        <v>15000000</v>
      </c>
      <c r="F253" s="575"/>
      <c r="G253" s="65"/>
    </row>
    <row r="254" spans="1:7" ht="33" x14ac:dyDescent="0.25">
      <c r="A254" s="49"/>
      <c r="B254" s="98" t="s">
        <v>369</v>
      </c>
      <c r="C254" s="574">
        <f t="shared" si="26"/>
        <v>10000000</v>
      </c>
      <c r="D254" s="82"/>
      <c r="E254" s="82"/>
      <c r="F254" s="82">
        <v>10000000</v>
      </c>
      <c r="G254" s="65"/>
    </row>
    <row r="255" spans="1:7" ht="33" x14ac:dyDescent="0.25">
      <c r="A255" s="97"/>
      <c r="B255" s="98" t="s">
        <v>371</v>
      </c>
      <c r="C255" s="574">
        <f t="shared" si="26"/>
        <v>18000000</v>
      </c>
      <c r="D255" s="64">
        <v>18000000</v>
      </c>
      <c r="E255" s="64"/>
      <c r="F255" s="64"/>
      <c r="G255" s="65"/>
    </row>
    <row r="256" spans="1:7" s="99" customFormat="1" ht="49.5" x14ac:dyDescent="0.25">
      <c r="A256" s="97"/>
      <c r="B256" s="98" t="s">
        <v>1093</v>
      </c>
      <c r="C256" s="100">
        <f t="shared" si="26"/>
        <v>65000000</v>
      </c>
      <c r="D256" s="64">
        <v>45000000</v>
      </c>
      <c r="E256" s="64"/>
      <c r="F256" s="64">
        <v>20000000</v>
      </c>
      <c r="G256" s="101"/>
    </row>
    <row r="257" spans="1:8" s="99" customFormat="1" ht="49.5" x14ac:dyDescent="0.25">
      <c r="A257" s="97"/>
      <c r="B257" s="15" t="s">
        <v>1125</v>
      </c>
      <c r="C257" s="100">
        <f t="shared" si="26"/>
        <v>63718184</v>
      </c>
      <c r="D257" s="64">
        <v>53718184</v>
      </c>
      <c r="E257" s="64"/>
      <c r="F257" s="64">
        <v>10000000</v>
      </c>
      <c r="G257" s="101"/>
    </row>
    <row r="258" spans="1:8" s="99" customFormat="1" ht="49.5" x14ac:dyDescent="0.25">
      <c r="A258" s="97"/>
      <c r="B258" s="98" t="s">
        <v>1066</v>
      </c>
      <c r="C258" s="100">
        <f t="shared" si="26"/>
        <v>150000000</v>
      </c>
      <c r="D258" s="64">
        <v>50000000</v>
      </c>
      <c r="E258" s="64"/>
      <c r="F258" s="64">
        <v>100000000</v>
      </c>
      <c r="G258" s="101"/>
    </row>
    <row r="259" spans="1:8" s="99" customFormat="1" ht="33" x14ac:dyDescent="0.25">
      <c r="A259" s="97"/>
      <c r="B259" s="98" t="s">
        <v>1092</v>
      </c>
      <c r="C259" s="100">
        <f t="shared" ref="C259:C260" si="27">D259+E259+F259</f>
        <v>50000000</v>
      </c>
      <c r="D259" s="64"/>
      <c r="E259" s="64"/>
      <c r="F259" s="64">
        <v>50000000</v>
      </c>
      <c r="G259" s="101"/>
      <c r="H259" s="566"/>
    </row>
    <row r="260" spans="1:8" s="99" customFormat="1" ht="33" x14ac:dyDescent="0.25">
      <c r="A260" s="97"/>
      <c r="B260" s="98" t="s">
        <v>1091</v>
      </c>
      <c r="C260" s="100">
        <f t="shared" si="27"/>
        <v>135260684</v>
      </c>
      <c r="D260" s="64"/>
      <c r="E260" s="64"/>
      <c r="F260" s="64">
        <v>135260684</v>
      </c>
      <c r="G260" s="101"/>
    </row>
    <row r="261" spans="1:8" s="107" customFormat="1" x14ac:dyDescent="0.25">
      <c r="A261" s="104" t="s">
        <v>403</v>
      </c>
      <c r="B261" s="58" t="s">
        <v>297</v>
      </c>
      <c r="C261" s="105">
        <f>C262</f>
        <v>789000000</v>
      </c>
      <c r="D261" s="105">
        <f t="shared" ref="D261:F261" si="28">D262</f>
        <v>789000000</v>
      </c>
      <c r="E261" s="105">
        <f t="shared" si="28"/>
        <v>0</v>
      </c>
      <c r="F261" s="105">
        <f t="shared" si="28"/>
        <v>0</v>
      </c>
      <c r="G261" s="106"/>
    </row>
    <row r="262" spans="1:8" ht="144" customHeight="1" x14ac:dyDescent="0.25">
      <c r="A262" s="49">
        <v>1</v>
      </c>
      <c r="B262" s="48" t="s">
        <v>1143</v>
      </c>
      <c r="C262" s="66">
        <f>D262+F262+E262</f>
        <v>789000000</v>
      </c>
      <c r="D262" s="62">
        <v>789000000</v>
      </c>
      <c r="E262" s="572"/>
      <c r="F262" s="588"/>
      <c r="G262" s="49" t="s">
        <v>1104</v>
      </c>
    </row>
  </sheetData>
  <mergeCells count="2">
    <mergeCell ref="G8:G10"/>
    <mergeCell ref="A2:G2"/>
  </mergeCells>
  <pageMargins left="0.39370078740157499" right="0.196850393700787" top="0.196850393700787" bottom="0.196850393700787" header="0.511811023622047" footer="0.511811023622047"/>
  <pageSetup paperSize="9" scale="95"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4"/>
  <sheetViews>
    <sheetView topLeftCell="B1" zoomScale="80" zoomScaleNormal="80" zoomScalePageLayoutView="80" workbookViewId="0">
      <selection activeCell="N7" sqref="N7"/>
    </sheetView>
  </sheetViews>
  <sheetFormatPr defaultRowHeight="16.5" x14ac:dyDescent="0.25"/>
  <cols>
    <col min="1" max="1" width="3.5" style="33" customWidth="1"/>
    <col min="2" max="2" width="13.69921875" style="34" customWidth="1"/>
    <col min="3" max="3" width="10.19921875" style="47" customWidth="1"/>
    <col min="4" max="4" width="6.3984375" style="47" customWidth="1"/>
    <col min="5" max="5" width="6.09765625" style="649" customWidth="1"/>
    <col min="6" max="6" width="6.3984375" style="649" customWidth="1"/>
    <col min="7" max="8" width="5.69921875" style="649" customWidth="1"/>
    <col min="9" max="9" width="13.09765625" style="50" customWidth="1"/>
    <col min="10" max="10" width="10.69921875" style="50" customWidth="1"/>
    <col min="11" max="11" width="11.19921875" style="50" customWidth="1"/>
    <col min="12" max="12" width="10.3984375" style="649" customWidth="1"/>
    <col min="13" max="13" width="8.8984375" style="649" customWidth="1"/>
    <col min="14" max="14" width="11" style="50" customWidth="1"/>
    <col min="15" max="15" width="12.5" style="21" customWidth="1"/>
    <col min="16" max="16" width="10.796875" style="21" customWidth="1"/>
    <col min="17" max="17" width="10.296875" style="21" customWidth="1"/>
    <col min="18" max="18" width="10.69921875" style="21" customWidth="1"/>
    <col min="19" max="255" width="8.796875" style="21"/>
    <col min="256" max="256" width="4.09765625" style="21" bestFit="1" customWidth="1"/>
    <col min="257" max="257" width="21.3984375" style="21" customWidth="1"/>
    <col min="258" max="258" width="8.3984375" style="21" customWidth="1"/>
    <col min="259" max="259" width="9" style="21" customWidth="1"/>
    <col min="260" max="260" width="10.09765625" style="21" customWidth="1"/>
    <col min="261" max="261" width="9.3984375" style="21" customWidth="1"/>
    <col min="262" max="262" width="8.3984375" style="21" customWidth="1"/>
    <col min="263" max="263" width="7.3984375" style="21" customWidth="1"/>
    <col min="264" max="264" width="7.19921875" style="21" customWidth="1"/>
    <col min="265" max="265" width="16.19921875" style="21" customWidth="1"/>
    <col min="266" max="266" width="16.69921875" style="21" customWidth="1"/>
    <col min="267" max="267" width="10.09765625" style="21" customWidth="1"/>
    <col min="268" max="268" width="16.09765625" style="21" customWidth="1"/>
    <col min="269" max="269" width="13.09765625" style="21" customWidth="1"/>
    <col min="270" max="270" width="14.3984375" style="21" customWidth="1"/>
    <col min="271" max="271" width="11.69921875" style="21" bestFit="1" customWidth="1"/>
    <col min="272" max="511" width="8.796875" style="21"/>
    <col min="512" max="512" width="4.09765625" style="21" bestFit="1" customWidth="1"/>
    <col min="513" max="513" width="21.3984375" style="21" customWidth="1"/>
    <col min="514" max="514" width="8.3984375" style="21" customWidth="1"/>
    <col min="515" max="515" width="9" style="21" customWidth="1"/>
    <col min="516" max="516" width="10.09765625" style="21" customWidth="1"/>
    <col min="517" max="517" width="9.3984375" style="21" customWidth="1"/>
    <col min="518" max="518" width="8.3984375" style="21" customWidth="1"/>
    <col min="519" max="519" width="7.3984375" style="21" customWidth="1"/>
    <col min="520" max="520" width="7.19921875" style="21" customWidth="1"/>
    <col min="521" max="521" width="16.19921875" style="21" customWidth="1"/>
    <col min="522" max="522" width="16.69921875" style="21" customWidth="1"/>
    <col min="523" max="523" width="10.09765625" style="21" customWidth="1"/>
    <col min="524" max="524" width="16.09765625" style="21" customWidth="1"/>
    <col min="525" max="525" width="13.09765625" style="21" customWidth="1"/>
    <col min="526" max="526" width="14.3984375" style="21" customWidth="1"/>
    <col min="527" max="527" width="11.69921875" style="21" bestFit="1" customWidth="1"/>
    <col min="528" max="767" width="8.796875" style="21"/>
    <col min="768" max="768" width="4.09765625" style="21" bestFit="1" customWidth="1"/>
    <col min="769" max="769" width="21.3984375" style="21" customWidth="1"/>
    <col min="770" max="770" width="8.3984375" style="21" customWidth="1"/>
    <col min="771" max="771" width="9" style="21" customWidth="1"/>
    <col min="772" max="772" width="10.09765625" style="21" customWidth="1"/>
    <col min="773" max="773" width="9.3984375" style="21" customWidth="1"/>
    <col min="774" max="774" width="8.3984375" style="21" customWidth="1"/>
    <col min="775" max="775" width="7.3984375" style="21" customWidth="1"/>
    <col min="776" max="776" width="7.19921875" style="21" customWidth="1"/>
    <col min="777" max="777" width="16.19921875" style="21" customWidth="1"/>
    <col min="778" max="778" width="16.69921875" style="21" customWidth="1"/>
    <col min="779" max="779" width="10.09765625" style="21" customWidth="1"/>
    <col min="780" max="780" width="16.09765625" style="21" customWidth="1"/>
    <col min="781" max="781" width="13.09765625" style="21" customWidth="1"/>
    <col min="782" max="782" width="14.3984375" style="21" customWidth="1"/>
    <col min="783" max="783" width="11.69921875" style="21" bestFit="1" customWidth="1"/>
    <col min="784" max="1023" width="8.796875" style="21"/>
    <col min="1024" max="1024" width="4.09765625" style="21" bestFit="1" customWidth="1"/>
    <col min="1025" max="1025" width="21.3984375" style="21" customWidth="1"/>
    <col min="1026" max="1026" width="8.3984375" style="21" customWidth="1"/>
    <col min="1027" max="1027" width="9" style="21" customWidth="1"/>
    <col min="1028" max="1028" width="10.09765625" style="21" customWidth="1"/>
    <col min="1029" max="1029" width="9.3984375" style="21" customWidth="1"/>
    <col min="1030" max="1030" width="8.3984375" style="21" customWidth="1"/>
    <col min="1031" max="1031" width="7.3984375" style="21" customWidth="1"/>
    <col min="1032" max="1032" width="7.19921875" style="21" customWidth="1"/>
    <col min="1033" max="1033" width="16.19921875" style="21" customWidth="1"/>
    <col min="1034" max="1034" width="16.69921875" style="21" customWidth="1"/>
    <col min="1035" max="1035" width="10.09765625" style="21" customWidth="1"/>
    <col min="1036" max="1036" width="16.09765625" style="21" customWidth="1"/>
    <col min="1037" max="1037" width="13.09765625" style="21" customWidth="1"/>
    <col min="1038" max="1038" width="14.3984375" style="21" customWidth="1"/>
    <col min="1039" max="1039" width="11.69921875" style="21" bestFit="1" customWidth="1"/>
    <col min="1040" max="1279" width="8.796875" style="21"/>
    <col min="1280" max="1280" width="4.09765625" style="21" bestFit="1" customWidth="1"/>
    <col min="1281" max="1281" width="21.3984375" style="21" customWidth="1"/>
    <col min="1282" max="1282" width="8.3984375" style="21" customWidth="1"/>
    <col min="1283" max="1283" width="9" style="21" customWidth="1"/>
    <col min="1284" max="1284" width="10.09765625" style="21" customWidth="1"/>
    <col min="1285" max="1285" width="9.3984375" style="21" customWidth="1"/>
    <col min="1286" max="1286" width="8.3984375" style="21" customWidth="1"/>
    <col min="1287" max="1287" width="7.3984375" style="21" customWidth="1"/>
    <col min="1288" max="1288" width="7.19921875" style="21" customWidth="1"/>
    <col min="1289" max="1289" width="16.19921875" style="21" customWidth="1"/>
    <col min="1290" max="1290" width="16.69921875" style="21" customWidth="1"/>
    <col min="1291" max="1291" width="10.09765625" style="21" customWidth="1"/>
    <col min="1292" max="1292" width="16.09765625" style="21" customWidth="1"/>
    <col min="1293" max="1293" width="13.09765625" style="21" customWidth="1"/>
    <col min="1294" max="1294" width="14.3984375" style="21" customWidth="1"/>
    <col min="1295" max="1295" width="11.69921875" style="21" bestFit="1" customWidth="1"/>
    <col min="1296" max="1535" width="8.796875" style="21"/>
    <col min="1536" max="1536" width="4.09765625" style="21" bestFit="1" customWidth="1"/>
    <col min="1537" max="1537" width="21.3984375" style="21" customWidth="1"/>
    <col min="1538" max="1538" width="8.3984375" style="21" customWidth="1"/>
    <col min="1539" max="1539" width="9" style="21" customWidth="1"/>
    <col min="1540" max="1540" width="10.09765625" style="21" customWidth="1"/>
    <col min="1541" max="1541" width="9.3984375" style="21" customWidth="1"/>
    <col min="1542" max="1542" width="8.3984375" style="21" customWidth="1"/>
    <col min="1543" max="1543" width="7.3984375" style="21" customWidth="1"/>
    <col min="1544" max="1544" width="7.19921875" style="21" customWidth="1"/>
    <col min="1545" max="1545" width="16.19921875" style="21" customWidth="1"/>
    <col min="1546" max="1546" width="16.69921875" style="21" customWidth="1"/>
    <col min="1547" max="1547" width="10.09765625" style="21" customWidth="1"/>
    <col min="1548" max="1548" width="16.09765625" style="21" customWidth="1"/>
    <col min="1549" max="1549" width="13.09765625" style="21" customWidth="1"/>
    <col min="1550" max="1550" width="14.3984375" style="21" customWidth="1"/>
    <col min="1551" max="1551" width="11.69921875" style="21" bestFit="1" customWidth="1"/>
    <col min="1552" max="1791" width="8.796875" style="21"/>
    <col min="1792" max="1792" width="4.09765625" style="21" bestFit="1" customWidth="1"/>
    <col min="1793" max="1793" width="21.3984375" style="21" customWidth="1"/>
    <col min="1794" max="1794" width="8.3984375" style="21" customWidth="1"/>
    <col min="1795" max="1795" width="9" style="21" customWidth="1"/>
    <col min="1796" max="1796" width="10.09765625" style="21" customWidth="1"/>
    <col min="1797" max="1797" width="9.3984375" style="21" customWidth="1"/>
    <col min="1798" max="1798" width="8.3984375" style="21" customWidth="1"/>
    <col min="1799" max="1799" width="7.3984375" style="21" customWidth="1"/>
    <col min="1800" max="1800" width="7.19921875" style="21" customWidth="1"/>
    <col min="1801" max="1801" width="16.19921875" style="21" customWidth="1"/>
    <col min="1802" max="1802" width="16.69921875" style="21" customWidth="1"/>
    <col min="1803" max="1803" width="10.09765625" style="21" customWidth="1"/>
    <col min="1804" max="1804" width="16.09765625" style="21" customWidth="1"/>
    <col min="1805" max="1805" width="13.09765625" style="21" customWidth="1"/>
    <col min="1806" max="1806" width="14.3984375" style="21" customWidth="1"/>
    <col min="1807" max="1807" width="11.69921875" style="21" bestFit="1" customWidth="1"/>
    <col min="1808" max="2047" width="8.796875" style="21"/>
    <col min="2048" max="2048" width="4.09765625" style="21" bestFit="1" customWidth="1"/>
    <col min="2049" max="2049" width="21.3984375" style="21" customWidth="1"/>
    <col min="2050" max="2050" width="8.3984375" style="21" customWidth="1"/>
    <col min="2051" max="2051" width="9" style="21" customWidth="1"/>
    <col min="2052" max="2052" width="10.09765625" style="21" customWidth="1"/>
    <col min="2053" max="2053" width="9.3984375" style="21" customWidth="1"/>
    <col min="2054" max="2054" width="8.3984375" style="21" customWidth="1"/>
    <col min="2055" max="2055" width="7.3984375" style="21" customWidth="1"/>
    <col min="2056" max="2056" width="7.19921875" style="21" customWidth="1"/>
    <col min="2057" max="2057" width="16.19921875" style="21" customWidth="1"/>
    <col min="2058" max="2058" width="16.69921875" style="21" customWidth="1"/>
    <col min="2059" max="2059" width="10.09765625" style="21" customWidth="1"/>
    <col min="2060" max="2060" width="16.09765625" style="21" customWidth="1"/>
    <col min="2061" max="2061" width="13.09765625" style="21" customWidth="1"/>
    <col min="2062" max="2062" width="14.3984375" style="21" customWidth="1"/>
    <col min="2063" max="2063" width="11.69921875" style="21" bestFit="1" customWidth="1"/>
    <col min="2064" max="2303" width="8.796875" style="21"/>
    <col min="2304" max="2304" width="4.09765625" style="21" bestFit="1" customWidth="1"/>
    <col min="2305" max="2305" width="21.3984375" style="21" customWidth="1"/>
    <col min="2306" max="2306" width="8.3984375" style="21" customWidth="1"/>
    <col min="2307" max="2307" width="9" style="21" customWidth="1"/>
    <col min="2308" max="2308" width="10.09765625" style="21" customWidth="1"/>
    <col min="2309" max="2309" width="9.3984375" style="21" customWidth="1"/>
    <col min="2310" max="2310" width="8.3984375" style="21" customWidth="1"/>
    <col min="2311" max="2311" width="7.3984375" style="21" customWidth="1"/>
    <col min="2312" max="2312" width="7.19921875" style="21" customWidth="1"/>
    <col min="2313" max="2313" width="16.19921875" style="21" customWidth="1"/>
    <col min="2314" max="2314" width="16.69921875" style="21" customWidth="1"/>
    <col min="2315" max="2315" width="10.09765625" style="21" customWidth="1"/>
    <col min="2316" max="2316" width="16.09765625" style="21" customWidth="1"/>
    <col min="2317" max="2317" width="13.09765625" style="21" customWidth="1"/>
    <col min="2318" max="2318" width="14.3984375" style="21" customWidth="1"/>
    <col min="2319" max="2319" width="11.69921875" style="21" bestFit="1" customWidth="1"/>
    <col min="2320" max="2559" width="8.796875" style="21"/>
    <col min="2560" max="2560" width="4.09765625" style="21" bestFit="1" customWidth="1"/>
    <col min="2561" max="2561" width="21.3984375" style="21" customWidth="1"/>
    <col min="2562" max="2562" width="8.3984375" style="21" customWidth="1"/>
    <col min="2563" max="2563" width="9" style="21" customWidth="1"/>
    <col min="2564" max="2564" width="10.09765625" style="21" customWidth="1"/>
    <col min="2565" max="2565" width="9.3984375" style="21" customWidth="1"/>
    <col min="2566" max="2566" width="8.3984375" style="21" customWidth="1"/>
    <col min="2567" max="2567" width="7.3984375" style="21" customWidth="1"/>
    <col min="2568" max="2568" width="7.19921875" style="21" customWidth="1"/>
    <col min="2569" max="2569" width="16.19921875" style="21" customWidth="1"/>
    <col min="2570" max="2570" width="16.69921875" style="21" customWidth="1"/>
    <col min="2571" max="2571" width="10.09765625" style="21" customWidth="1"/>
    <col min="2572" max="2572" width="16.09765625" style="21" customWidth="1"/>
    <col min="2573" max="2573" width="13.09765625" style="21" customWidth="1"/>
    <col min="2574" max="2574" width="14.3984375" style="21" customWidth="1"/>
    <col min="2575" max="2575" width="11.69921875" style="21" bestFit="1" customWidth="1"/>
    <col min="2576" max="2815" width="8.796875" style="21"/>
    <col min="2816" max="2816" width="4.09765625" style="21" bestFit="1" customWidth="1"/>
    <col min="2817" max="2817" width="21.3984375" style="21" customWidth="1"/>
    <col min="2818" max="2818" width="8.3984375" style="21" customWidth="1"/>
    <col min="2819" max="2819" width="9" style="21" customWidth="1"/>
    <col min="2820" max="2820" width="10.09765625" style="21" customWidth="1"/>
    <col min="2821" max="2821" width="9.3984375" style="21" customWidth="1"/>
    <col min="2822" max="2822" width="8.3984375" style="21" customWidth="1"/>
    <col min="2823" max="2823" width="7.3984375" style="21" customWidth="1"/>
    <col min="2824" max="2824" width="7.19921875" style="21" customWidth="1"/>
    <col min="2825" max="2825" width="16.19921875" style="21" customWidth="1"/>
    <col min="2826" max="2826" width="16.69921875" style="21" customWidth="1"/>
    <col min="2827" max="2827" width="10.09765625" style="21" customWidth="1"/>
    <col min="2828" max="2828" width="16.09765625" style="21" customWidth="1"/>
    <col min="2829" max="2829" width="13.09765625" style="21" customWidth="1"/>
    <col min="2830" max="2830" width="14.3984375" style="21" customWidth="1"/>
    <col min="2831" max="2831" width="11.69921875" style="21" bestFit="1" customWidth="1"/>
    <col min="2832" max="3071" width="8.796875" style="21"/>
    <col min="3072" max="3072" width="4.09765625" style="21" bestFit="1" customWidth="1"/>
    <col min="3073" max="3073" width="21.3984375" style="21" customWidth="1"/>
    <col min="3074" max="3074" width="8.3984375" style="21" customWidth="1"/>
    <col min="3075" max="3075" width="9" style="21" customWidth="1"/>
    <col min="3076" max="3076" width="10.09765625" style="21" customWidth="1"/>
    <col min="3077" max="3077" width="9.3984375" style="21" customWidth="1"/>
    <col min="3078" max="3078" width="8.3984375" style="21" customWidth="1"/>
    <col min="3079" max="3079" width="7.3984375" style="21" customWidth="1"/>
    <col min="3080" max="3080" width="7.19921875" style="21" customWidth="1"/>
    <col min="3081" max="3081" width="16.19921875" style="21" customWidth="1"/>
    <col min="3082" max="3082" width="16.69921875" style="21" customWidth="1"/>
    <col min="3083" max="3083" width="10.09765625" style="21" customWidth="1"/>
    <col min="3084" max="3084" width="16.09765625" style="21" customWidth="1"/>
    <col min="3085" max="3085" width="13.09765625" style="21" customWidth="1"/>
    <col min="3086" max="3086" width="14.3984375" style="21" customWidth="1"/>
    <col min="3087" max="3087" width="11.69921875" style="21" bestFit="1" customWidth="1"/>
    <col min="3088" max="3327" width="8.796875" style="21"/>
    <col min="3328" max="3328" width="4.09765625" style="21" bestFit="1" customWidth="1"/>
    <col min="3329" max="3329" width="21.3984375" style="21" customWidth="1"/>
    <col min="3330" max="3330" width="8.3984375" style="21" customWidth="1"/>
    <col min="3331" max="3331" width="9" style="21" customWidth="1"/>
    <col min="3332" max="3332" width="10.09765625" style="21" customWidth="1"/>
    <col min="3333" max="3333" width="9.3984375" style="21" customWidth="1"/>
    <col min="3334" max="3334" width="8.3984375" style="21" customWidth="1"/>
    <col min="3335" max="3335" width="7.3984375" style="21" customWidth="1"/>
    <col min="3336" max="3336" width="7.19921875" style="21" customWidth="1"/>
    <col min="3337" max="3337" width="16.19921875" style="21" customWidth="1"/>
    <col min="3338" max="3338" width="16.69921875" style="21" customWidth="1"/>
    <col min="3339" max="3339" width="10.09765625" style="21" customWidth="1"/>
    <col min="3340" max="3340" width="16.09765625" style="21" customWidth="1"/>
    <col min="3341" max="3341" width="13.09765625" style="21" customWidth="1"/>
    <col min="3342" max="3342" width="14.3984375" style="21" customWidth="1"/>
    <col min="3343" max="3343" width="11.69921875" style="21" bestFit="1" customWidth="1"/>
    <col min="3344" max="3583" width="8.796875" style="21"/>
    <col min="3584" max="3584" width="4.09765625" style="21" bestFit="1" customWidth="1"/>
    <col min="3585" max="3585" width="21.3984375" style="21" customWidth="1"/>
    <col min="3586" max="3586" width="8.3984375" style="21" customWidth="1"/>
    <col min="3587" max="3587" width="9" style="21" customWidth="1"/>
    <col min="3588" max="3588" width="10.09765625" style="21" customWidth="1"/>
    <col min="3589" max="3589" width="9.3984375" style="21" customWidth="1"/>
    <col min="3590" max="3590" width="8.3984375" style="21" customWidth="1"/>
    <col min="3591" max="3591" width="7.3984375" style="21" customWidth="1"/>
    <col min="3592" max="3592" width="7.19921875" style="21" customWidth="1"/>
    <col min="3593" max="3593" width="16.19921875" style="21" customWidth="1"/>
    <col min="3594" max="3594" width="16.69921875" style="21" customWidth="1"/>
    <col min="3595" max="3595" width="10.09765625" style="21" customWidth="1"/>
    <col min="3596" max="3596" width="16.09765625" style="21" customWidth="1"/>
    <col min="3597" max="3597" width="13.09765625" style="21" customWidth="1"/>
    <col min="3598" max="3598" width="14.3984375" style="21" customWidth="1"/>
    <col min="3599" max="3599" width="11.69921875" style="21" bestFit="1" customWidth="1"/>
    <col min="3600" max="3839" width="8.796875" style="21"/>
    <col min="3840" max="3840" width="4.09765625" style="21" bestFit="1" customWidth="1"/>
    <col min="3841" max="3841" width="21.3984375" style="21" customWidth="1"/>
    <col min="3842" max="3842" width="8.3984375" style="21" customWidth="1"/>
    <col min="3843" max="3843" width="9" style="21" customWidth="1"/>
    <col min="3844" max="3844" width="10.09765625" style="21" customWidth="1"/>
    <col min="3845" max="3845" width="9.3984375" style="21" customWidth="1"/>
    <col min="3846" max="3846" width="8.3984375" style="21" customWidth="1"/>
    <col min="3847" max="3847" width="7.3984375" style="21" customWidth="1"/>
    <col min="3848" max="3848" width="7.19921875" style="21" customWidth="1"/>
    <col min="3849" max="3849" width="16.19921875" style="21" customWidth="1"/>
    <col min="3850" max="3850" width="16.69921875" style="21" customWidth="1"/>
    <col min="3851" max="3851" width="10.09765625" style="21" customWidth="1"/>
    <col min="3852" max="3852" width="16.09765625" style="21" customWidth="1"/>
    <col min="3853" max="3853" width="13.09765625" style="21" customWidth="1"/>
    <col min="3854" max="3854" width="14.3984375" style="21" customWidth="1"/>
    <col min="3855" max="3855" width="11.69921875" style="21" bestFit="1" customWidth="1"/>
    <col min="3856" max="4095" width="8.796875" style="21"/>
    <col min="4096" max="4096" width="4.09765625" style="21" bestFit="1" customWidth="1"/>
    <col min="4097" max="4097" width="21.3984375" style="21" customWidth="1"/>
    <col min="4098" max="4098" width="8.3984375" style="21" customWidth="1"/>
    <col min="4099" max="4099" width="9" style="21" customWidth="1"/>
    <col min="4100" max="4100" width="10.09765625" style="21" customWidth="1"/>
    <col min="4101" max="4101" width="9.3984375" style="21" customWidth="1"/>
    <col min="4102" max="4102" width="8.3984375" style="21" customWidth="1"/>
    <col min="4103" max="4103" width="7.3984375" style="21" customWidth="1"/>
    <col min="4104" max="4104" width="7.19921875" style="21" customWidth="1"/>
    <col min="4105" max="4105" width="16.19921875" style="21" customWidth="1"/>
    <col min="4106" max="4106" width="16.69921875" style="21" customWidth="1"/>
    <col min="4107" max="4107" width="10.09765625" style="21" customWidth="1"/>
    <col min="4108" max="4108" width="16.09765625" style="21" customWidth="1"/>
    <col min="4109" max="4109" width="13.09765625" style="21" customWidth="1"/>
    <col min="4110" max="4110" width="14.3984375" style="21" customWidth="1"/>
    <col min="4111" max="4111" width="11.69921875" style="21" bestFit="1" customWidth="1"/>
    <col min="4112" max="4351" width="8.796875" style="21"/>
    <col min="4352" max="4352" width="4.09765625" style="21" bestFit="1" customWidth="1"/>
    <col min="4353" max="4353" width="21.3984375" style="21" customWidth="1"/>
    <col min="4354" max="4354" width="8.3984375" style="21" customWidth="1"/>
    <col min="4355" max="4355" width="9" style="21" customWidth="1"/>
    <col min="4356" max="4356" width="10.09765625" style="21" customWidth="1"/>
    <col min="4357" max="4357" width="9.3984375" style="21" customWidth="1"/>
    <col min="4358" max="4358" width="8.3984375" style="21" customWidth="1"/>
    <col min="4359" max="4359" width="7.3984375" style="21" customWidth="1"/>
    <col min="4360" max="4360" width="7.19921875" style="21" customWidth="1"/>
    <col min="4361" max="4361" width="16.19921875" style="21" customWidth="1"/>
    <col min="4362" max="4362" width="16.69921875" style="21" customWidth="1"/>
    <col min="4363" max="4363" width="10.09765625" style="21" customWidth="1"/>
    <col min="4364" max="4364" width="16.09765625" style="21" customWidth="1"/>
    <col min="4365" max="4365" width="13.09765625" style="21" customWidth="1"/>
    <col min="4366" max="4366" width="14.3984375" style="21" customWidth="1"/>
    <col min="4367" max="4367" width="11.69921875" style="21" bestFit="1" customWidth="1"/>
    <col min="4368" max="4607" width="8.796875" style="21"/>
    <col min="4608" max="4608" width="4.09765625" style="21" bestFit="1" customWidth="1"/>
    <col min="4609" max="4609" width="21.3984375" style="21" customWidth="1"/>
    <col min="4610" max="4610" width="8.3984375" style="21" customWidth="1"/>
    <col min="4611" max="4611" width="9" style="21" customWidth="1"/>
    <col min="4612" max="4612" width="10.09765625" style="21" customWidth="1"/>
    <col min="4613" max="4613" width="9.3984375" style="21" customWidth="1"/>
    <col min="4614" max="4614" width="8.3984375" style="21" customWidth="1"/>
    <col min="4615" max="4615" width="7.3984375" style="21" customWidth="1"/>
    <col min="4616" max="4616" width="7.19921875" style="21" customWidth="1"/>
    <col min="4617" max="4617" width="16.19921875" style="21" customWidth="1"/>
    <col min="4618" max="4618" width="16.69921875" style="21" customWidth="1"/>
    <col min="4619" max="4619" width="10.09765625" style="21" customWidth="1"/>
    <col min="4620" max="4620" width="16.09765625" style="21" customWidth="1"/>
    <col min="4621" max="4621" width="13.09765625" style="21" customWidth="1"/>
    <col min="4622" max="4622" width="14.3984375" style="21" customWidth="1"/>
    <col min="4623" max="4623" width="11.69921875" style="21" bestFit="1" customWidth="1"/>
    <col min="4624" max="4863" width="8.796875" style="21"/>
    <col min="4864" max="4864" width="4.09765625" style="21" bestFit="1" customWidth="1"/>
    <col min="4865" max="4865" width="21.3984375" style="21" customWidth="1"/>
    <col min="4866" max="4866" width="8.3984375" style="21" customWidth="1"/>
    <col min="4867" max="4867" width="9" style="21" customWidth="1"/>
    <col min="4868" max="4868" width="10.09765625" style="21" customWidth="1"/>
    <col min="4869" max="4869" width="9.3984375" style="21" customWidth="1"/>
    <col min="4870" max="4870" width="8.3984375" style="21" customWidth="1"/>
    <col min="4871" max="4871" width="7.3984375" style="21" customWidth="1"/>
    <col min="4872" max="4872" width="7.19921875" style="21" customWidth="1"/>
    <col min="4873" max="4873" width="16.19921875" style="21" customWidth="1"/>
    <col min="4874" max="4874" width="16.69921875" style="21" customWidth="1"/>
    <col min="4875" max="4875" width="10.09765625" style="21" customWidth="1"/>
    <col min="4876" max="4876" width="16.09765625" style="21" customWidth="1"/>
    <col min="4877" max="4877" width="13.09765625" style="21" customWidth="1"/>
    <col min="4878" max="4878" width="14.3984375" style="21" customWidth="1"/>
    <col min="4879" max="4879" width="11.69921875" style="21" bestFit="1" customWidth="1"/>
    <col min="4880" max="5119" width="8.796875" style="21"/>
    <col min="5120" max="5120" width="4.09765625" style="21" bestFit="1" customWidth="1"/>
    <col min="5121" max="5121" width="21.3984375" style="21" customWidth="1"/>
    <col min="5122" max="5122" width="8.3984375" style="21" customWidth="1"/>
    <col min="5123" max="5123" width="9" style="21" customWidth="1"/>
    <col min="5124" max="5124" width="10.09765625" style="21" customWidth="1"/>
    <col min="5125" max="5125" width="9.3984375" style="21" customWidth="1"/>
    <col min="5126" max="5126" width="8.3984375" style="21" customWidth="1"/>
    <col min="5127" max="5127" width="7.3984375" style="21" customWidth="1"/>
    <col min="5128" max="5128" width="7.19921875" style="21" customWidth="1"/>
    <col min="5129" max="5129" width="16.19921875" style="21" customWidth="1"/>
    <col min="5130" max="5130" width="16.69921875" style="21" customWidth="1"/>
    <col min="5131" max="5131" width="10.09765625" style="21" customWidth="1"/>
    <col min="5132" max="5132" width="16.09765625" style="21" customWidth="1"/>
    <col min="5133" max="5133" width="13.09765625" style="21" customWidth="1"/>
    <col min="5134" max="5134" width="14.3984375" style="21" customWidth="1"/>
    <col min="5135" max="5135" width="11.69921875" style="21" bestFit="1" customWidth="1"/>
    <col min="5136" max="5375" width="8.796875" style="21"/>
    <col min="5376" max="5376" width="4.09765625" style="21" bestFit="1" customWidth="1"/>
    <col min="5377" max="5377" width="21.3984375" style="21" customWidth="1"/>
    <col min="5378" max="5378" width="8.3984375" style="21" customWidth="1"/>
    <col min="5379" max="5379" width="9" style="21" customWidth="1"/>
    <col min="5380" max="5380" width="10.09765625" style="21" customWidth="1"/>
    <col min="5381" max="5381" width="9.3984375" style="21" customWidth="1"/>
    <col min="5382" max="5382" width="8.3984375" style="21" customWidth="1"/>
    <col min="5383" max="5383" width="7.3984375" style="21" customWidth="1"/>
    <col min="5384" max="5384" width="7.19921875" style="21" customWidth="1"/>
    <col min="5385" max="5385" width="16.19921875" style="21" customWidth="1"/>
    <col min="5386" max="5386" width="16.69921875" style="21" customWidth="1"/>
    <col min="5387" max="5387" width="10.09765625" style="21" customWidth="1"/>
    <col min="5388" max="5388" width="16.09765625" style="21" customWidth="1"/>
    <col min="5389" max="5389" width="13.09765625" style="21" customWidth="1"/>
    <col min="5390" max="5390" width="14.3984375" style="21" customWidth="1"/>
    <col min="5391" max="5391" width="11.69921875" style="21" bestFit="1" customWidth="1"/>
    <col min="5392" max="5631" width="8.796875" style="21"/>
    <col min="5632" max="5632" width="4.09765625" style="21" bestFit="1" customWidth="1"/>
    <col min="5633" max="5633" width="21.3984375" style="21" customWidth="1"/>
    <col min="5634" max="5634" width="8.3984375" style="21" customWidth="1"/>
    <col min="5635" max="5635" width="9" style="21" customWidth="1"/>
    <col min="5636" max="5636" width="10.09765625" style="21" customWidth="1"/>
    <col min="5637" max="5637" width="9.3984375" style="21" customWidth="1"/>
    <col min="5638" max="5638" width="8.3984375" style="21" customWidth="1"/>
    <col min="5639" max="5639" width="7.3984375" style="21" customWidth="1"/>
    <col min="5640" max="5640" width="7.19921875" style="21" customWidth="1"/>
    <col min="5641" max="5641" width="16.19921875" style="21" customWidth="1"/>
    <col min="5642" max="5642" width="16.69921875" style="21" customWidth="1"/>
    <col min="5643" max="5643" width="10.09765625" style="21" customWidth="1"/>
    <col min="5644" max="5644" width="16.09765625" style="21" customWidth="1"/>
    <col min="5645" max="5645" width="13.09765625" style="21" customWidth="1"/>
    <col min="5646" max="5646" width="14.3984375" style="21" customWidth="1"/>
    <col min="5647" max="5647" width="11.69921875" style="21" bestFit="1" customWidth="1"/>
    <col min="5648" max="5887" width="8.796875" style="21"/>
    <col min="5888" max="5888" width="4.09765625" style="21" bestFit="1" customWidth="1"/>
    <col min="5889" max="5889" width="21.3984375" style="21" customWidth="1"/>
    <col min="5890" max="5890" width="8.3984375" style="21" customWidth="1"/>
    <col min="5891" max="5891" width="9" style="21" customWidth="1"/>
    <col min="5892" max="5892" width="10.09765625" style="21" customWidth="1"/>
    <col min="5893" max="5893" width="9.3984375" style="21" customWidth="1"/>
    <col min="5894" max="5894" width="8.3984375" style="21" customWidth="1"/>
    <col min="5895" max="5895" width="7.3984375" style="21" customWidth="1"/>
    <col min="5896" max="5896" width="7.19921875" style="21" customWidth="1"/>
    <col min="5897" max="5897" width="16.19921875" style="21" customWidth="1"/>
    <col min="5898" max="5898" width="16.69921875" style="21" customWidth="1"/>
    <col min="5899" max="5899" width="10.09765625" style="21" customWidth="1"/>
    <col min="5900" max="5900" width="16.09765625" style="21" customWidth="1"/>
    <col min="5901" max="5901" width="13.09765625" style="21" customWidth="1"/>
    <col min="5902" max="5902" width="14.3984375" style="21" customWidth="1"/>
    <col min="5903" max="5903" width="11.69921875" style="21" bestFit="1" customWidth="1"/>
    <col min="5904" max="6143" width="8.796875" style="21"/>
    <col min="6144" max="6144" width="4.09765625" style="21" bestFit="1" customWidth="1"/>
    <col min="6145" max="6145" width="21.3984375" style="21" customWidth="1"/>
    <col min="6146" max="6146" width="8.3984375" style="21" customWidth="1"/>
    <col min="6147" max="6147" width="9" style="21" customWidth="1"/>
    <col min="6148" max="6148" width="10.09765625" style="21" customWidth="1"/>
    <col min="6149" max="6149" width="9.3984375" style="21" customWidth="1"/>
    <col min="6150" max="6150" width="8.3984375" style="21" customWidth="1"/>
    <col min="6151" max="6151" width="7.3984375" style="21" customWidth="1"/>
    <col min="6152" max="6152" width="7.19921875" style="21" customWidth="1"/>
    <col min="6153" max="6153" width="16.19921875" style="21" customWidth="1"/>
    <col min="6154" max="6154" width="16.69921875" style="21" customWidth="1"/>
    <col min="6155" max="6155" width="10.09765625" style="21" customWidth="1"/>
    <col min="6156" max="6156" width="16.09765625" style="21" customWidth="1"/>
    <col min="6157" max="6157" width="13.09765625" style="21" customWidth="1"/>
    <col min="6158" max="6158" width="14.3984375" style="21" customWidth="1"/>
    <col min="6159" max="6159" width="11.69921875" style="21" bestFit="1" customWidth="1"/>
    <col min="6160" max="6399" width="8.796875" style="21"/>
    <col min="6400" max="6400" width="4.09765625" style="21" bestFit="1" customWidth="1"/>
    <col min="6401" max="6401" width="21.3984375" style="21" customWidth="1"/>
    <col min="6402" max="6402" width="8.3984375" style="21" customWidth="1"/>
    <col min="6403" max="6403" width="9" style="21" customWidth="1"/>
    <col min="6404" max="6404" width="10.09765625" style="21" customWidth="1"/>
    <col min="6405" max="6405" width="9.3984375" style="21" customWidth="1"/>
    <col min="6406" max="6406" width="8.3984375" style="21" customWidth="1"/>
    <col min="6407" max="6407" width="7.3984375" style="21" customWidth="1"/>
    <col min="6408" max="6408" width="7.19921875" style="21" customWidth="1"/>
    <col min="6409" max="6409" width="16.19921875" style="21" customWidth="1"/>
    <col min="6410" max="6410" width="16.69921875" style="21" customWidth="1"/>
    <col min="6411" max="6411" width="10.09765625" style="21" customWidth="1"/>
    <col min="6412" max="6412" width="16.09765625" style="21" customWidth="1"/>
    <col min="6413" max="6413" width="13.09765625" style="21" customWidth="1"/>
    <col min="6414" max="6414" width="14.3984375" style="21" customWidth="1"/>
    <col min="6415" max="6415" width="11.69921875" style="21" bestFit="1" customWidth="1"/>
    <col min="6416" max="6655" width="8.796875" style="21"/>
    <col min="6656" max="6656" width="4.09765625" style="21" bestFit="1" customWidth="1"/>
    <col min="6657" max="6657" width="21.3984375" style="21" customWidth="1"/>
    <col min="6658" max="6658" width="8.3984375" style="21" customWidth="1"/>
    <col min="6659" max="6659" width="9" style="21" customWidth="1"/>
    <col min="6660" max="6660" width="10.09765625" style="21" customWidth="1"/>
    <col min="6661" max="6661" width="9.3984375" style="21" customWidth="1"/>
    <col min="6662" max="6662" width="8.3984375" style="21" customWidth="1"/>
    <col min="6663" max="6663" width="7.3984375" style="21" customWidth="1"/>
    <col min="6664" max="6664" width="7.19921875" style="21" customWidth="1"/>
    <col min="6665" max="6665" width="16.19921875" style="21" customWidth="1"/>
    <col min="6666" max="6666" width="16.69921875" style="21" customWidth="1"/>
    <col min="6667" max="6667" width="10.09765625" style="21" customWidth="1"/>
    <col min="6668" max="6668" width="16.09765625" style="21" customWidth="1"/>
    <col min="6669" max="6669" width="13.09765625" style="21" customWidth="1"/>
    <col min="6670" max="6670" width="14.3984375" style="21" customWidth="1"/>
    <col min="6671" max="6671" width="11.69921875" style="21" bestFit="1" customWidth="1"/>
    <col min="6672" max="6911" width="8.796875" style="21"/>
    <col min="6912" max="6912" width="4.09765625" style="21" bestFit="1" customWidth="1"/>
    <col min="6913" max="6913" width="21.3984375" style="21" customWidth="1"/>
    <col min="6914" max="6914" width="8.3984375" style="21" customWidth="1"/>
    <col min="6915" max="6915" width="9" style="21" customWidth="1"/>
    <col min="6916" max="6916" width="10.09765625" style="21" customWidth="1"/>
    <col min="6917" max="6917" width="9.3984375" style="21" customWidth="1"/>
    <col min="6918" max="6918" width="8.3984375" style="21" customWidth="1"/>
    <col min="6919" max="6919" width="7.3984375" style="21" customWidth="1"/>
    <col min="6920" max="6920" width="7.19921875" style="21" customWidth="1"/>
    <col min="6921" max="6921" width="16.19921875" style="21" customWidth="1"/>
    <col min="6922" max="6922" width="16.69921875" style="21" customWidth="1"/>
    <col min="6923" max="6923" width="10.09765625" style="21" customWidth="1"/>
    <col min="6924" max="6924" width="16.09765625" style="21" customWidth="1"/>
    <col min="6925" max="6925" width="13.09765625" style="21" customWidth="1"/>
    <col min="6926" max="6926" width="14.3984375" style="21" customWidth="1"/>
    <col min="6927" max="6927" width="11.69921875" style="21" bestFit="1" customWidth="1"/>
    <col min="6928" max="7167" width="8.796875" style="21"/>
    <col min="7168" max="7168" width="4.09765625" style="21" bestFit="1" customWidth="1"/>
    <col min="7169" max="7169" width="21.3984375" style="21" customWidth="1"/>
    <col min="7170" max="7170" width="8.3984375" style="21" customWidth="1"/>
    <col min="7171" max="7171" width="9" style="21" customWidth="1"/>
    <col min="7172" max="7172" width="10.09765625" style="21" customWidth="1"/>
    <col min="7173" max="7173" width="9.3984375" style="21" customWidth="1"/>
    <col min="7174" max="7174" width="8.3984375" style="21" customWidth="1"/>
    <col min="7175" max="7175" width="7.3984375" style="21" customWidth="1"/>
    <col min="7176" max="7176" width="7.19921875" style="21" customWidth="1"/>
    <col min="7177" max="7177" width="16.19921875" style="21" customWidth="1"/>
    <col min="7178" max="7178" width="16.69921875" style="21" customWidth="1"/>
    <col min="7179" max="7179" width="10.09765625" style="21" customWidth="1"/>
    <col min="7180" max="7180" width="16.09765625" style="21" customWidth="1"/>
    <col min="7181" max="7181" width="13.09765625" style="21" customWidth="1"/>
    <col min="7182" max="7182" width="14.3984375" style="21" customWidth="1"/>
    <col min="7183" max="7183" width="11.69921875" style="21" bestFit="1" customWidth="1"/>
    <col min="7184" max="7423" width="8.796875" style="21"/>
    <col min="7424" max="7424" width="4.09765625" style="21" bestFit="1" customWidth="1"/>
    <col min="7425" max="7425" width="21.3984375" style="21" customWidth="1"/>
    <col min="7426" max="7426" width="8.3984375" style="21" customWidth="1"/>
    <col min="7427" max="7427" width="9" style="21" customWidth="1"/>
    <col min="7428" max="7428" width="10.09765625" style="21" customWidth="1"/>
    <col min="7429" max="7429" width="9.3984375" style="21" customWidth="1"/>
    <col min="7430" max="7430" width="8.3984375" style="21" customWidth="1"/>
    <col min="7431" max="7431" width="7.3984375" style="21" customWidth="1"/>
    <col min="7432" max="7432" width="7.19921875" style="21" customWidth="1"/>
    <col min="7433" max="7433" width="16.19921875" style="21" customWidth="1"/>
    <col min="7434" max="7434" width="16.69921875" style="21" customWidth="1"/>
    <col min="7435" max="7435" width="10.09765625" style="21" customWidth="1"/>
    <col min="7436" max="7436" width="16.09765625" style="21" customWidth="1"/>
    <col min="7437" max="7437" width="13.09765625" style="21" customWidth="1"/>
    <col min="7438" max="7438" width="14.3984375" style="21" customWidth="1"/>
    <col min="7439" max="7439" width="11.69921875" style="21" bestFit="1" customWidth="1"/>
    <col min="7440" max="7679" width="8.796875" style="21"/>
    <col min="7680" max="7680" width="4.09765625" style="21" bestFit="1" customWidth="1"/>
    <col min="7681" max="7681" width="21.3984375" style="21" customWidth="1"/>
    <col min="7682" max="7682" width="8.3984375" style="21" customWidth="1"/>
    <col min="7683" max="7683" width="9" style="21" customWidth="1"/>
    <col min="7684" max="7684" width="10.09765625" style="21" customWidth="1"/>
    <col min="7685" max="7685" width="9.3984375" style="21" customWidth="1"/>
    <col min="7686" max="7686" width="8.3984375" style="21" customWidth="1"/>
    <col min="7687" max="7687" width="7.3984375" style="21" customWidth="1"/>
    <col min="7688" max="7688" width="7.19921875" style="21" customWidth="1"/>
    <col min="7689" max="7689" width="16.19921875" style="21" customWidth="1"/>
    <col min="7690" max="7690" width="16.69921875" style="21" customWidth="1"/>
    <col min="7691" max="7691" width="10.09765625" style="21" customWidth="1"/>
    <col min="7692" max="7692" width="16.09765625" style="21" customWidth="1"/>
    <col min="7693" max="7693" width="13.09765625" style="21" customWidth="1"/>
    <col min="7694" max="7694" width="14.3984375" style="21" customWidth="1"/>
    <col min="7695" max="7695" width="11.69921875" style="21" bestFit="1" customWidth="1"/>
    <col min="7696" max="7935" width="8.796875" style="21"/>
    <col min="7936" max="7936" width="4.09765625" style="21" bestFit="1" customWidth="1"/>
    <col min="7937" max="7937" width="21.3984375" style="21" customWidth="1"/>
    <col min="7938" max="7938" width="8.3984375" style="21" customWidth="1"/>
    <col min="7939" max="7939" width="9" style="21" customWidth="1"/>
    <col min="7940" max="7940" width="10.09765625" style="21" customWidth="1"/>
    <col min="7941" max="7941" width="9.3984375" style="21" customWidth="1"/>
    <col min="7942" max="7942" width="8.3984375" style="21" customWidth="1"/>
    <col min="7943" max="7943" width="7.3984375" style="21" customWidth="1"/>
    <col min="7944" max="7944" width="7.19921875" style="21" customWidth="1"/>
    <col min="7945" max="7945" width="16.19921875" style="21" customWidth="1"/>
    <col min="7946" max="7946" width="16.69921875" style="21" customWidth="1"/>
    <col min="7947" max="7947" width="10.09765625" style="21" customWidth="1"/>
    <col min="7948" max="7948" width="16.09765625" style="21" customWidth="1"/>
    <col min="7949" max="7949" width="13.09765625" style="21" customWidth="1"/>
    <col min="7950" max="7950" width="14.3984375" style="21" customWidth="1"/>
    <col min="7951" max="7951" width="11.69921875" style="21" bestFit="1" customWidth="1"/>
    <col min="7952" max="8191" width="8.796875" style="21"/>
    <col min="8192" max="8192" width="4.09765625" style="21" bestFit="1" customWidth="1"/>
    <col min="8193" max="8193" width="21.3984375" style="21" customWidth="1"/>
    <col min="8194" max="8194" width="8.3984375" style="21" customWidth="1"/>
    <col min="8195" max="8195" width="9" style="21" customWidth="1"/>
    <col min="8196" max="8196" width="10.09765625" style="21" customWidth="1"/>
    <col min="8197" max="8197" width="9.3984375" style="21" customWidth="1"/>
    <col min="8198" max="8198" width="8.3984375" style="21" customWidth="1"/>
    <col min="8199" max="8199" width="7.3984375" style="21" customWidth="1"/>
    <col min="8200" max="8200" width="7.19921875" style="21" customWidth="1"/>
    <col min="8201" max="8201" width="16.19921875" style="21" customWidth="1"/>
    <col min="8202" max="8202" width="16.69921875" style="21" customWidth="1"/>
    <col min="8203" max="8203" width="10.09765625" style="21" customWidth="1"/>
    <col min="8204" max="8204" width="16.09765625" style="21" customWidth="1"/>
    <col min="8205" max="8205" width="13.09765625" style="21" customWidth="1"/>
    <col min="8206" max="8206" width="14.3984375" style="21" customWidth="1"/>
    <col min="8207" max="8207" width="11.69921875" style="21" bestFit="1" customWidth="1"/>
    <col min="8208" max="8447" width="8.796875" style="21"/>
    <col min="8448" max="8448" width="4.09765625" style="21" bestFit="1" customWidth="1"/>
    <col min="8449" max="8449" width="21.3984375" style="21" customWidth="1"/>
    <col min="8450" max="8450" width="8.3984375" style="21" customWidth="1"/>
    <col min="8451" max="8451" width="9" style="21" customWidth="1"/>
    <col min="8452" max="8452" width="10.09765625" style="21" customWidth="1"/>
    <col min="8453" max="8453" width="9.3984375" style="21" customWidth="1"/>
    <col min="8454" max="8454" width="8.3984375" style="21" customWidth="1"/>
    <col min="8455" max="8455" width="7.3984375" style="21" customWidth="1"/>
    <col min="8456" max="8456" width="7.19921875" style="21" customWidth="1"/>
    <col min="8457" max="8457" width="16.19921875" style="21" customWidth="1"/>
    <col min="8458" max="8458" width="16.69921875" style="21" customWidth="1"/>
    <col min="8459" max="8459" width="10.09765625" style="21" customWidth="1"/>
    <col min="8460" max="8460" width="16.09765625" style="21" customWidth="1"/>
    <col min="8461" max="8461" width="13.09765625" style="21" customWidth="1"/>
    <col min="8462" max="8462" width="14.3984375" style="21" customWidth="1"/>
    <col min="8463" max="8463" width="11.69921875" style="21" bestFit="1" customWidth="1"/>
    <col min="8464" max="8703" width="8.796875" style="21"/>
    <col min="8704" max="8704" width="4.09765625" style="21" bestFit="1" customWidth="1"/>
    <col min="8705" max="8705" width="21.3984375" style="21" customWidth="1"/>
    <col min="8706" max="8706" width="8.3984375" style="21" customWidth="1"/>
    <col min="8707" max="8707" width="9" style="21" customWidth="1"/>
    <col min="8708" max="8708" width="10.09765625" style="21" customWidth="1"/>
    <col min="8709" max="8709" width="9.3984375" style="21" customWidth="1"/>
    <col min="8710" max="8710" width="8.3984375" style="21" customWidth="1"/>
    <col min="8711" max="8711" width="7.3984375" style="21" customWidth="1"/>
    <col min="8712" max="8712" width="7.19921875" style="21" customWidth="1"/>
    <col min="8713" max="8713" width="16.19921875" style="21" customWidth="1"/>
    <col min="8714" max="8714" width="16.69921875" style="21" customWidth="1"/>
    <col min="8715" max="8715" width="10.09765625" style="21" customWidth="1"/>
    <col min="8716" max="8716" width="16.09765625" style="21" customWidth="1"/>
    <col min="8717" max="8717" width="13.09765625" style="21" customWidth="1"/>
    <col min="8718" max="8718" width="14.3984375" style="21" customWidth="1"/>
    <col min="8719" max="8719" width="11.69921875" style="21" bestFit="1" customWidth="1"/>
    <col min="8720" max="8959" width="8.796875" style="21"/>
    <col min="8960" max="8960" width="4.09765625" style="21" bestFit="1" customWidth="1"/>
    <col min="8961" max="8961" width="21.3984375" style="21" customWidth="1"/>
    <col min="8962" max="8962" width="8.3984375" style="21" customWidth="1"/>
    <col min="8963" max="8963" width="9" style="21" customWidth="1"/>
    <col min="8964" max="8964" width="10.09765625" style="21" customWidth="1"/>
    <col min="8965" max="8965" width="9.3984375" style="21" customWidth="1"/>
    <col min="8966" max="8966" width="8.3984375" style="21" customWidth="1"/>
    <col min="8967" max="8967" width="7.3984375" style="21" customWidth="1"/>
    <col min="8968" max="8968" width="7.19921875" style="21" customWidth="1"/>
    <col min="8969" max="8969" width="16.19921875" style="21" customWidth="1"/>
    <col min="8970" max="8970" width="16.69921875" style="21" customWidth="1"/>
    <col min="8971" max="8971" width="10.09765625" style="21" customWidth="1"/>
    <col min="8972" max="8972" width="16.09765625" style="21" customWidth="1"/>
    <col min="8973" max="8973" width="13.09765625" style="21" customWidth="1"/>
    <col min="8974" max="8974" width="14.3984375" style="21" customWidth="1"/>
    <col min="8975" max="8975" width="11.69921875" style="21" bestFit="1" customWidth="1"/>
    <col min="8976" max="9215" width="8.796875" style="21"/>
    <col min="9216" max="9216" width="4.09765625" style="21" bestFit="1" customWidth="1"/>
    <col min="9217" max="9217" width="21.3984375" style="21" customWidth="1"/>
    <col min="9218" max="9218" width="8.3984375" style="21" customWidth="1"/>
    <col min="9219" max="9219" width="9" style="21" customWidth="1"/>
    <col min="9220" max="9220" width="10.09765625" style="21" customWidth="1"/>
    <col min="9221" max="9221" width="9.3984375" style="21" customWidth="1"/>
    <col min="9222" max="9222" width="8.3984375" style="21" customWidth="1"/>
    <col min="9223" max="9223" width="7.3984375" style="21" customWidth="1"/>
    <col min="9224" max="9224" width="7.19921875" style="21" customWidth="1"/>
    <col min="9225" max="9225" width="16.19921875" style="21" customWidth="1"/>
    <col min="9226" max="9226" width="16.69921875" style="21" customWidth="1"/>
    <col min="9227" max="9227" width="10.09765625" style="21" customWidth="1"/>
    <col min="9228" max="9228" width="16.09765625" style="21" customWidth="1"/>
    <col min="9229" max="9229" width="13.09765625" style="21" customWidth="1"/>
    <col min="9230" max="9230" width="14.3984375" style="21" customWidth="1"/>
    <col min="9231" max="9231" width="11.69921875" style="21" bestFit="1" customWidth="1"/>
    <col min="9232" max="9471" width="8.796875" style="21"/>
    <col min="9472" max="9472" width="4.09765625" style="21" bestFit="1" customWidth="1"/>
    <col min="9473" max="9473" width="21.3984375" style="21" customWidth="1"/>
    <col min="9474" max="9474" width="8.3984375" style="21" customWidth="1"/>
    <col min="9475" max="9475" width="9" style="21" customWidth="1"/>
    <col min="9476" max="9476" width="10.09765625" style="21" customWidth="1"/>
    <col min="9477" max="9477" width="9.3984375" style="21" customWidth="1"/>
    <col min="9478" max="9478" width="8.3984375" style="21" customWidth="1"/>
    <col min="9479" max="9479" width="7.3984375" style="21" customWidth="1"/>
    <col min="9480" max="9480" width="7.19921875" style="21" customWidth="1"/>
    <col min="9481" max="9481" width="16.19921875" style="21" customWidth="1"/>
    <col min="9482" max="9482" width="16.69921875" style="21" customWidth="1"/>
    <col min="9483" max="9483" width="10.09765625" style="21" customWidth="1"/>
    <col min="9484" max="9484" width="16.09765625" style="21" customWidth="1"/>
    <col min="9485" max="9485" width="13.09765625" style="21" customWidth="1"/>
    <col min="9486" max="9486" width="14.3984375" style="21" customWidth="1"/>
    <col min="9487" max="9487" width="11.69921875" style="21" bestFit="1" customWidth="1"/>
    <col min="9488" max="9727" width="8.796875" style="21"/>
    <col min="9728" max="9728" width="4.09765625" style="21" bestFit="1" customWidth="1"/>
    <col min="9729" max="9729" width="21.3984375" style="21" customWidth="1"/>
    <col min="9730" max="9730" width="8.3984375" style="21" customWidth="1"/>
    <col min="9731" max="9731" width="9" style="21" customWidth="1"/>
    <col min="9732" max="9732" width="10.09765625" style="21" customWidth="1"/>
    <col min="9733" max="9733" width="9.3984375" style="21" customWidth="1"/>
    <col min="9734" max="9734" width="8.3984375" style="21" customWidth="1"/>
    <col min="9735" max="9735" width="7.3984375" style="21" customWidth="1"/>
    <col min="9736" max="9736" width="7.19921875" style="21" customWidth="1"/>
    <col min="9737" max="9737" width="16.19921875" style="21" customWidth="1"/>
    <col min="9738" max="9738" width="16.69921875" style="21" customWidth="1"/>
    <col min="9739" max="9739" width="10.09765625" style="21" customWidth="1"/>
    <col min="9740" max="9740" width="16.09765625" style="21" customWidth="1"/>
    <col min="9741" max="9741" width="13.09765625" style="21" customWidth="1"/>
    <col min="9742" max="9742" width="14.3984375" style="21" customWidth="1"/>
    <col min="9743" max="9743" width="11.69921875" style="21" bestFit="1" customWidth="1"/>
    <col min="9744" max="9983" width="8.796875" style="21"/>
    <col min="9984" max="9984" width="4.09765625" style="21" bestFit="1" customWidth="1"/>
    <col min="9985" max="9985" width="21.3984375" style="21" customWidth="1"/>
    <col min="9986" max="9986" width="8.3984375" style="21" customWidth="1"/>
    <col min="9987" max="9987" width="9" style="21" customWidth="1"/>
    <col min="9988" max="9988" width="10.09765625" style="21" customWidth="1"/>
    <col min="9989" max="9989" width="9.3984375" style="21" customWidth="1"/>
    <col min="9990" max="9990" width="8.3984375" style="21" customWidth="1"/>
    <col min="9991" max="9991" width="7.3984375" style="21" customWidth="1"/>
    <col min="9992" max="9992" width="7.19921875" style="21" customWidth="1"/>
    <col min="9993" max="9993" width="16.19921875" style="21" customWidth="1"/>
    <col min="9994" max="9994" width="16.69921875" style="21" customWidth="1"/>
    <col min="9995" max="9995" width="10.09765625" style="21" customWidth="1"/>
    <col min="9996" max="9996" width="16.09765625" style="21" customWidth="1"/>
    <col min="9997" max="9997" width="13.09765625" style="21" customWidth="1"/>
    <col min="9998" max="9998" width="14.3984375" style="21" customWidth="1"/>
    <col min="9999" max="9999" width="11.69921875" style="21" bestFit="1" customWidth="1"/>
    <col min="10000" max="10239" width="8.796875" style="21"/>
    <col min="10240" max="10240" width="4.09765625" style="21" bestFit="1" customWidth="1"/>
    <col min="10241" max="10241" width="21.3984375" style="21" customWidth="1"/>
    <col min="10242" max="10242" width="8.3984375" style="21" customWidth="1"/>
    <col min="10243" max="10243" width="9" style="21" customWidth="1"/>
    <col min="10244" max="10244" width="10.09765625" style="21" customWidth="1"/>
    <col min="10245" max="10245" width="9.3984375" style="21" customWidth="1"/>
    <col min="10246" max="10246" width="8.3984375" style="21" customWidth="1"/>
    <col min="10247" max="10247" width="7.3984375" style="21" customWidth="1"/>
    <col min="10248" max="10248" width="7.19921875" style="21" customWidth="1"/>
    <col min="10249" max="10249" width="16.19921875" style="21" customWidth="1"/>
    <col min="10250" max="10250" width="16.69921875" style="21" customWidth="1"/>
    <col min="10251" max="10251" width="10.09765625" style="21" customWidth="1"/>
    <col min="10252" max="10252" width="16.09765625" style="21" customWidth="1"/>
    <col min="10253" max="10253" width="13.09765625" style="21" customWidth="1"/>
    <col min="10254" max="10254" width="14.3984375" style="21" customWidth="1"/>
    <col min="10255" max="10255" width="11.69921875" style="21" bestFit="1" customWidth="1"/>
    <col min="10256" max="10495" width="8.796875" style="21"/>
    <col min="10496" max="10496" width="4.09765625" style="21" bestFit="1" customWidth="1"/>
    <col min="10497" max="10497" width="21.3984375" style="21" customWidth="1"/>
    <col min="10498" max="10498" width="8.3984375" style="21" customWidth="1"/>
    <col min="10499" max="10499" width="9" style="21" customWidth="1"/>
    <col min="10500" max="10500" width="10.09765625" style="21" customWidth="1"/>
    <col min="10501" max="10501" width="9.3984375" style="21" customWidth="1"/>
    <col min="10502" max="10502" width="8.3984375" style="21" customWidth="1"/>
    <col min="10503" max="10503" width="7.3984375" style="21" customWidth="1"/>
    <col min="10504" max="10504" width="7.19921875" style="21" customWidth="1"/>
    <col min="10505" max="10505" width="16.19921875" style="21" customWidth="1"/>
    <col min="10506" max="10506" width="16.69921875" style="21" customWidth="1"/>
    <col min="10507" max="10507" width="10.09765625" style="21" customWidth="1"/>
    <col min="10508" max="10508" width="16.09765625" style="21" customWidth="1"/>
    <col min="10509" max="10509" width="13.09765625" style="21" customWidth="1"/>
    <col min="10510" max="10510" width="14.3984375" style="21" customWidth="1"/>
    <col min="10511" max="10511" width="11.69921875" style="21" bestFit="1" customWidth="1"/>
    <col min="10512" max="10751" width="8.796875" style="21"/>
    <col min="10752" max="10752" width="4.09765625" style="21" bestFit="1" customWidth="1"/>
    <col min="10753" max="10753" width="21.3984375" style="21" customWidth="1"/>
    <col min="10754" max="10754" width="8.3984375" style="21" customWidth="1"/>
    <col min="10755" max="10755" width="9" style="21" customWidth="1"/>
    <col min="10756" max="10756" width="10.09765625" style="21" customWidth="1"/>
    <col min="10757" max="10757" width="9.3984375" style="21" customWidth="1"/>
    <col min="10758" max="10758" width="8.3984375" style="21" customWidth="1"/>
    <col min="10759" max="10759" width="7.3984375" style="21" customWidth="1"/>
    <col min="10760" max="10760" width="7.19921875" style="21" customWidth="1"/>
    <col min="10761" max="10761" width="16.19921875" style="21" customWidth="1"/>
    <col min="10762" max="10762" width="16.69921875" style="21" customWidth="1"/>
    <col min="10763" max="10763" width="10.09765625" style="21" customWidth="1"/>
    <col min="10764" max="10764" width="16.09765625" style="21" customWidth="1"/>
    <col min="10765" max="10765" width="13.09765625" style="21" customWidth="1"/>
    <col min="10766" max="10766" width="14.3984375" style="21" customWidth="1"/>
    <col min="10767" max="10767" width="11.69921875" style="21" bestFit="1" customWidth="1"/>
    <col min="10768" max="11007" width="8.796875" style="21"/>
    <col min="11008" max="11008" width="4.09765625" style="21" bestFit="1" customWidth="1"/>
    <col min="11009" max="11009" width="21.3984375" style="21" customWidth="1"/>
    <col min="11010" max="11010" width="8.3984375" style="21" customWidth="1"/>
    <col min="11011" max="11011" width="9" style="21" customWidth="1"/>
    <col min="11012" max="11012" width="10.09765625" style="21" customWidth="1"/>
    <col min="11013" max="11013" width="9.3984375" style="21" customWidth="1"/>
    <col min="11014" max="11014" width="8.3984375" style="21" customWidth="1"/>
    <col min="11015" max="11015" width="7.3984375" style="21" customWidth="1"/>
    <col min="11016" max="11016" width="7.19921875" style="21" customWidth="1"/>
    <col min="11017" max="11017" width="16.19921875" style="21" customWidth="1"/>
    <col min="11018" max="11018" width="16.69921875" style="21" customWidth="1"/>
    <col min="11019" max="11019" width="10.09765625" style="21" customWidth="1"/>
    <col min="11020" max="11020" width="16.09765625" style="21" customWidth="1"/>
    <col min="11021" max="11021" width="13.09765625" style="21" customWidth="1"/>
    <col min="11022" max="11022" width="14.3984375" style="21" customWidth="1"/>
    <col min="11023" max="11023" width="11.69921875" style="21" bestFit="1" customWidth="1"/>
    <col min="11024" max="11263" width="8.796875" style="21"/>
    <col min="11264" max="11264" width="4.09765625" style="21" bestFit="1" customWidth="1"/>
    <col min="11265" max="11265" width="21.3984375" style="21" customWidth="1"/>
    <col min="11266" max="11266" width="8.3984375" style="21" customWidth="1"/>
    <col min="11267" max="11267" width="9" style="21" customWidth="1"/>
    <col min="11268" max="11268" width="10.09765625" style="21" customWidth="1"/>
    <col min="11269" max="11269" width="9.3984375" style="21" customWidth="1"/>
    <col min="11270" max="11270" width="8.3984375" style="21" customWidth="1"/>
    <col min="11271" max="11271" width="7.3984375" style="21" customWidth="1"/>
    <col min="11272" max="11272" width="7.19921875" style="21" customWidth="1"/>
    <col min="11273" max="11273" width="16.19921875" style="21" customWidth="1"/>
    <col min="11274" max="11274" width="16.69921875" style="21" customWidth="1"/>
    <col min="11275" max="11275" width="10.09765625" style="21" customWidth="1"/>
    <col min="11276" max="11276" width="16.09765625" style="21" customWidth="1"/>
    <col min="11277" max="11277" width="13.09765625" style="21" customWidth="1"/>
    <col min="11278" max="11278" width="14.3984375" style="21" customWidth="1"/>
    <col min="11279" max="11279" width="11.69921875" style="21" bestFit="1" customWidth="1"/>
    <col min="11280" max="11519" width="8.796875" style="21"/>
    <col min="11520" max="11520" width="4.09765625" style="21" bestFit="1" customWidth="1"/>
    <col min="11521" max="11521" width="21.3984375" style="21" customWidth="1"/>
    <col min="11522" max="11522" width="8.3984375" style="21" customWidth="1"/>
    <col min="11523" max="11523" width="9" style="21" customWidth="1"/>
    <col min="11524" max="11524" width="10.09765625" style="21" customWidth="1"/>
    <col min="11525" max="11525" width="9.3984375" style="21" customWidth="1"/>
    <col min="11526" max="11526" width="8.3984375" style="21" customWidth="1"/>
    <col min="11527" max="11527" width="7.3984375" style="21" customWidth="1"/>
    <col min="11528" max="11528" width="7.19921875" style="21" customWidth="1"/>
    <col min="11529" max="11529" width="16.19921875" style="21" customWidth="1"/>
    <col min="11530" max="11530" width="16.69921875" style="21" customWidth="1"/>
    <col min="11531" max="11531" width="10.09765625" style="21" customWidth="1"/>
    <col min="11532" max="11532" width="16.09765625" style="21" customWidth="1"/>
    <col min="11533" max="11533" width="13.09765625" style="21" customWidth="1"/>
    <col min="11534" max="11534" width="14.3984375" style="21" customWidth="1"/>
    <col min="11535" max="11535" width="11.69921875" style="21" bestFit="1" customWidth="1"/>
    <col min="11536" max="11775" width="8.796875" style="21"/>
    <col min="11776" max="11776" width="4.09765625" style="21" bestFit="1" customWidth="1"/>
    <col min="11777" max="11777" width="21.3984375" style="21" customWidth="1"/>
    <col min="11778" max="11778" width="8.3984375" style="21" customWidth="1"/>
    <col min="11779" max="11779" width="9" style="21" customWidth="1"/>
    <col min="11780" max="11780" width="10.09765625" style="21" customWidth="1"/>
    <col min="11781" max="11781" width="9.3984375" style="21" customWidth="1"/>
    <col min="11782" max="11782" width="8.3984375" style="21" customWidth="1"/>
    <col min="11783" max="11783" width="7.3984375" style="21" customWidth="1"/>
    <col min="11784" max="11784" width="7.19921875" style="21" customWidth="1"/>
    <col min="11785" max="11785" width="16.19921875" style="21" customWidth="1"/>
    <col min="11786" max="11786" width="16.69921875" style="21" customWidth="1"/>
    <col min="11787" max="11787" width="10.09765625" style="21" customWidth="1"/>
    <col min="11788" max="11788" width="16.09765625" style="21" customWidth="1"/>
    <col min="11789" max="11789" width="13.09765625" style="21" customWidth="1"/>
    <col min="11790" max="11790" width="14.3984375" style="21" customWidth="1"/>
    <col min="11791" max="11791" width="11.69921875" style="21" bestFit="1" customWidth="1"/>
    <col min="11792" max="12031" width="8.796875" style="21"/>
    <col min="12032" max="12032" width="4.09765625" style="21" bestFit="1" customWidth="1"/>
    <col min="12033" max="12033" width="21.3984375" style="21" customWidth="1"/>
    <col min="12034" max="12034" width="8.3984375" style="21" customWidth="1"/>
    <col min="12035" max="12035" width="9" style="21" customWidth="1"/>
    <col min="12036" max="12036" width="10.09765625" style="21" customWidth="1"/>
    <col min="12037" max="12037" width="9.3984375" style="21" customWidth="1"/>
    <col min="12038" max="12038" width="8.3984375" style="21" customWidth="1"/>
    <col min="12039" max="12039" width="7.3984375" style="21" customWidth="1"/>
    <col min="12040" max="12040" width="7.19921875" style="21" customWidth="1"/>
    <col min="12041" max="12041" width="16.19921875" style="21" customWidth="1"/>
    <col min="12042" max="12042" width="16.69921875" style="21" customWidth="1"/>
    <col min="12043" max="12043" width="10.09765625" style="21" customWidth="1"/>
    <col min="12044" max="12044" width="16.09765625" style="21" customWidth="1"/>
    <col min="12045" max="12045" width="13.09765625" style="21" customWidth="1"/>
    <col min="12046" max="12046" width="14.3984375" style="21" customWidth="1"/>
    <col min="12047" max="12047" width="11.69921875" style="21" bestFit="1" customWidth="1"/>
    <col min="12048" max="12287" width="8.796875" style="21"/>
    <col min="12288" max="12288" width="4.09765625" style="21" bestFit="1" customWidth="1"/>
    <col min="12289" max="12289" width="21.3984375" style="21" customWidth="1"/>
    <col min="12290" max="12290" width="8.3984375" style="21" customWidth="1"/>
    <col min="12291" max="12291" width="9" style="21" customWidth="1"/>
    <col min="12292" max="12292" width="10.09765625" style="21" customWidth="1"/>
    <col min="12293" max="12293" width="9.3984375" style="21" customWidth="1"/>
    <col min="12294" max="12294" width="8.3984375" style="21" customWidth="1"/>
    <col min="12295" max="12295" width="7.3984375" style="21" customWidth="1"/>
    <col min="12296" max="12296" width="7.19921875" style="21" customWidth="1"/>
    <col min="12297" max="12297" width="16.19921875" style="21" customWidth="1"/>
    <col min="12298" max="12298" width="16.69921875" style="21" customWidth="1"/>
    <col min="12299" max="12299" width="10.09765625" style="21" customWidth="1"/>
    <col min="12300" max="12300" width="16.09765625" style="21" customWidth="1"/>
    <col min="12301" max="12301" width="13.09765625" style="21" customWidth="1"/>
    <col min="12302" max="12302" width="14.3984375" style="21" customWidth="1"/>
    <col min="12303" max="12303" width="11.69921875" style="21" bestFit="1" customWidth="1"/>
    <col min="12304" max="12543" width="8.796875" style="21"/>
    <col min="12544" max="12544" width="4.09765625" style="21" bestFit="1" customWidth="1"/>
    <col min="12545" max="12545" width="21.3984375" style="21" customWidth="1"/>
    <col min="12546" max="12546" width="8.3984375" style="21" customWidth="1"/>
    <col min="12547" max="12547" width="9" style="21" customWidth="1"/>
    <col min="12548" max="12548" width="10.09765625" style="21" customWidth="1"/>
    <col min="12549" max="12549" width="9.3984375" style="21" customWidth="1"/>
    <col min="12550" max="12550" width="8.3984375" style="21" customWidth="1"/>
    <col min="12551" max="12551" width="7.3984375" style="21" customWidth="1"/>
    <col min="12552" max="12552" width="7.19921875" style="21" customWidth="1"/>
    <col min="12553" max="12553" width="16.19921875" style="21" customWidth="1"/>
    <col min="12554" max="12554" width="16.69921875" style="21" customWidth="1"/>
    <col min="12555" max="12555" width="10.09765625" style="21" customWidth="1"/>
    <col min="12556" max="12556" width="16.09765625" style="21" customWidth="1"/>
    <col min="12557" max="12557" width="13.09765625" style="21" customWidth="1"/>
    <col min="12558" max="12558" width="14.3984375" style="21" customWidth="1"/>
    <col min="12559" max="12559" width="11.69921875" style="21" bestFit="1" customWidth="1"/>
    <col min="12560" max="12799" width="8.796875" style="21"/>
    <col min="12800" max="12800" width="4.09765625" style="21" bestFit="1" customWidth="1"/>
    <col min="12801" max="12801" width="21.3984375" style="21" customWidth="1"/>
    <col min="12802" max="12802" width="8.3984375" style="21" customWidth="1"/>
    <col min="12803" max="12803" width="9" style="21" customWidth="1"/>
    <col min="12804" max="12804" width="10.09765625" style="21" customWidth="1"/>
    <col min="12805" max="12805" width="9.3984375" style="21" customWidth="1"/>
    <col min="12806" max="12806" width="8.3984375" style="21" customWidth="1"/>
    <col min="12807" max="12807" width="7.3984375" style="21" customWidth="1"/>
    <col min="12808" max="12808" width="7.19921875" style="21" customWidth="1"/>
    <col min="12809" max="12809" width="16.19921875" style="21" customWidth="1"/>
    <col min="12810" max="12810" width="16.69921875" style="21" customWidth="1"/>
    <col min="12811" max="12811" width="10.09765625" style="21" customWidth="1"/>
    <col min="12812" max="12812" width="16.09765625" style="21" customWidth="1"/>
    <col min="12813" max="12813" width="13.09765625" style="21" customWidth="1"/>
    <col min="12814" max="12814" width="14.3984375" style="21" customWidth="1"/>
    <col min="12815" max="12815" width="11.69921875" style="21" bestFit="1" customWidth="1"/>
    <col min="12816" max="13055" width="8.796875" style="21"/>
    <col min="13056" max="13056" width="4.09765625" style="21" bestFit="1" customWidth="1"/>
    <col min="13057" max="13057" width="21.3984375" style="21" customWidth="1"/>
    <col min="13058" max="13058" width="8.3984375" style="21" customWidth="1"/>
    <col min="13059" max="13059" width="9" style="21" customWidth="1"/>
    <col min="13060" max="13060" width="10.09765625" style="21" customWidth="1"/>
    <col min="13061" max="13061" width="9.3984375" style="21" customWidth="1"/>
    <col min="13062" max="13062" width="8.3984375" style="21" customWidth="1"/>
    <col min="13063" max="13063" width="7.3984375" style="21" customWidth="1"/>
    <col min="13064" max="13064" width="7.19921875" style="21" customWidth="1"/>
    <col min="13065" max="13065" width="16.19921875" style="21" customWidth="1"/>
    <col min="13066" max="13066" width="16.69921875" style="21" customWidth="1"/>
    <col min="13067" max="13067" width="10.09765625" style="21" customWidth="1"/>
    <col min="13068" max="13068" width="16.09765625" style="21" customWidth="1"/>
    <col min="13069" max="13069" width="13.09765625" style="21" customWidth="1"/>
    <col min="13070" max="13070" width="14.3984375" style="21" customWidth="1"/>
    <col min="13071" max="13071" width="11.69921875" style="21" bestFit="1" customWidth="1"/>
    <col min="13072" max="13311" width="8.796875" style="21"/>
    <col min="13312" max="13312" width="4.09765625" style="21" bestFit="1" customWidth="1"/>
    <col min="13313" max="13313" width="21.3984375" style="21" customWidth="1"/>
    <col min="13314" max="13314" width="8.3984375" style="21" customWidth="1"/>
    <col min="13315" max="13315" width="9" style="21" customWidth="1"/>
    <col min="13316" max="13316" width="10.09765625" style="21" customWidth="1"/>
    <col min="13317" max="13317" width="9.3984375" style="21" customWidth="1"/>
    <col min="13318" max="13318" width="8.3984375" style="21" customWidth="1"/>
    <col min="13319" max="13319" width="7.3984375" style="21" customWidth="1"/>
    <col min="13320" max="13320" width="7.19921875" style="21" customWidth="1"/>
    <col min="13321" max="13321" width="16.19921875" style="21" customWidth="1"/>
    <col min="13322" max="13322" width="16.69921875" style="21" customWidth="1"/>
    <col min="13323" max="13323" width="10.09765625" style="21" customWidth="1"/>
    <col min="13324" max="13324" width="16.09765625" style="21" customWidth="1"/>
    <col min="13325" max="13325" width="13.09765625" style="21" customWidth="1"/>
    <col min="13326" max="13326" width="14.3984375" style="21" customWidth="1"/>
    <col min="13327" max="13327" width="11.69921875" style="21" bestFit="1" customWidth="1"/>
    <col min="13328" max="13567" width="8.796875" style="21"/>
    <col min="13568" max="13568" width="4.09765625" style="21" bestFit="1" customWidth="1"/>
    <col min="13569" max="13569" width="21.3984375" style="21" customWidth="1"/>
    <col min="13570" max="13570" width="8.3984375" style="21" customWidth="1"/>
    <col min="13571" max="13571" width="9" style="21" customWidth="1"/>
    <col min="13572" max="13572" width="10.09765625" style="21" customWidth="1"/>
    <col min="13573" max="13573" width="9.3984375" style="21" customWidth="1"/>
    <col min="13574" max="13574" width="8.3984375" style="21" customWidth="1"/>
    <col min="13575" max="13575" width="7.3984375" style="21" customWidth="1"/>
    <col min="13576" max="13576" width="7.19921875" style="21" customWidth="1"/>
    <col min="13577" max="13577" width="16.19921875" style="21" customWidth="1"/>
    <col min="13578" max="13578" width="16.69921875" style="21" customWidth="1"/>
    <col min="13579" max="13579" width="10.09765625" style="21" customWidth="1"/>
    <col min="13580" max="13580" width="16.09765625" style="21" customWidth="1"/>
    <col min="13581" max="13581" width="13.09765625" style="21" customWidth="1"/>
    <col min="13582" max="13582" width="14.3984375" style="21" customWidth="1"/>
    <col min="13583" max="13583" width="11.69921875" style="21" bestFit="1" customWidth="1"/>
    <col min="13584" max="13823" width="8.796875" style="21"/>
    <col min="13824" max="13824" width="4.09765625" style="21" bestFit="1" customWidth="1"/>
    <col min="13825" max="13825" width="21.3984375" style="21" customWidth="1"/>
    <col min="13826" max="13826" width="8.3984375" style="21" customWidth="1"/>
    <col min="13827" max="13827" width="9" style="21" customWidth="1"/>
    <col min="13828" max="13828" width="10.09765625" style="21" customWidth="1"/>
    <col min="13829" max="13829" width="9.3984375" style="21" customWidth="1"/>
    <col min="13830" max="13830" width="8.3984375" style="21" customWidth="1"/>
    <col min="13831" max="13831" width="7.3984375" style="21" customWidth="1"/>
    <col min="13832" max="13832" width="7.19921875" style="21" customWidth="1"/>
    <col min="13833" max="13833" width="16.19921875" style="21" customWidth="1"/>
    <col min="13834" max="13834" width="16.69921875" style="21" customWidth="1"/>
    <col min="13835" max="13835" width="10.09765625" style="21" customWidth="1"/>
    <col min="13836" max="13836" width="16.09765625" style="21" customWidth="1"/>
    <col min="13837" max="13837" width="13.09765625" style="21" customWidth="1"/>
    <col min="13838" max="13838" width="14.3984375" style="21" customWidth="1"/>
    <col min="13839" max="13839" width="11.69921875" style="21" bestFit="1" customWidth="1"/>
    <col min="13840" max="14079" width="8.796875" style="21"/>
    <col min="14080" max="14080" width="4.09765625" style="21" bestFit="1" customWidth="1"/>
    <col min="14081" max="14081" width="21.3984375" style="21" customWidth="1"/>
    <col min="14082" max="14082" width="8.3984375" style="21" customWidth="1"/>
    <col min="14083" max="14083" width="9" style="21" customWidth="1"/>
    <col min="14084" max="14084" width="10.09765625" style="21" customWidth="1"/>
    <col min="14085" max="14085" width="9.3984375" style="21" customWidth="1"/>
    <col min="14086" max="14086" width="8.3984375" style="21" customWidth="1"/>
    <col min="14087" max="14087" width="7.3984375" style="21" customWidth="1"/>
    <col min="14088" max="14088" width="7.19921875" style="21" customWidth="1"/>
    <col min="14089" max="14089" width="16.19921875" style="21" customWidth="1"/>
    <col min="14090" max="14090" width="16.69921875" style="21" customWidth="1"/>
    <col min="14091" max="14091" width="10.09765625" style="21" customWidth="1"/>
    <col min="14092" max="14092" width="16.09765625" style="21" customWidth="1"/>
    <col min="14093" max="14093" width="13.09765625" style="21" customWidth="1"/>
    <col min="14094" max="14094" width="14.3984375" style="21" customWidth="1"/>
    <col min="14095" max="14095" width="11.69921875" style="21" bestFit="1" customWidth="1"/>
    <col min="14096" max="14335" width="8.796875" style="21"/>
    <col min="14336" max="14336" width="4.09765625" style="21" bestFit="1" customWidth="1"/>
    <col min="14337" max="14337" width="21.3984375" style="21" customWidth="1"/>
    <col min="14338" max="14338" width="8.3984375" style="21" customWidth="1"/>
    <col min="14339" max="14339" width="9" style="21" customWidth="1"/>
    <col min="14340" max="14340" width="10.09765625" style="21" customWidth="1"/>
    <col min="14341" max="14341" width="9.3984375" style="21" customWidth="1"/>
    <col min="14342" max="14342" width="8.3984375" style="21" customWidth="1"/>
    <col min="14343" max="14343" width="7.3984375" style="21" customWidth="1"/>
    <col min="14344" max="14344" width="7.19921875" style="21" customWidth="1"/>
    <col min="14345" max="14345" width="16.19921875" style="21" customWidth="1"/>
    <col min="14346" max="14346" width="16.69921875" style="21" customWidth="1"/>
    <col min="14347" max="14347" width="10.09765625" style="21" customWidth="1"/>
    <col min="14348" max="14348" width="16.09765625" style="21" customWidth="1"/>
    <col min="14349" max="14349" width="13.09765625" style="21" customWidth="1"/>
    <col min="14350" max="14350" width="14.3984375" style="21" customWidth="1"/>
    <col min="14351" max="14351" width="11.69921875" style="21" bestFit="1" customWidth="1"/>
    <col min="14352" max="14591" width="8.796875" style="21"/>
    <col min="14592" max="14592" width="4.09765625" style="21" bestFit="1" customWidth="1"/>
    <col min="14593" max="14593" width="21.3984375" style="21" customWidth="1"/>
    <col min="14594" max="14594" width="8.3984375" style="21" customWidth="1"/>
    <col min="14595" max="14595" width="9" style="21" customWidth="1"/>
    <col min="14596" max="14596" width="10.09765625" style="21" customWidth="1"/>
    <col min="14597" max="14597" width="9.3984375" style="21" customWidth="1"/>
    <col min="14598" max="14598" width="8.3984375" style="21" customWidth="1"/>
    <col min="14599" max="14599" width="7.3984375" style="21" customWidth="1"/>
    <col min="14600" max="14600" width="7.19921875" style="21" customWidth="1"/>
    <col min="14601" max="14601" width="16.19921875" style="21" customWidth="1"/>
    <col min="14602" max="14602" width="16.69921875" style="21" customWidth="1"/>
    <col min="14603" max="14603" width="10.09765625" style="21" customWidth="1"/>
    <col min="14604" max="14604" width="16.09765625" style="21" customWidth="1"/>
    <col min="14605" max="14605" width="13.09765625" style="21" customWidth="1"/>
    <col min="14606" max="14606" width="14.3984375" style="21" customWidth="1"/>
    <col min="14607" max="14607" width="11.69921875" style="21" bestFit="1" customWidth="1"/>
    <col min="14608" max="14847" width="8.796875" style="21"/>
    <col min="14848" max="14848" width="4.09765625" style="21" bestFit="1" customWidth="1"/>
    <col min="14849" max="14849" width="21.3984375" style="21" customWidth="1"/>
    <col min="14850" max="14850" width="8.3984375" style="21" customWidth="1"/>
    <col min="14851" max="14851" width="9" style="21" customWidth="1"/>
    <col min="14852" max="14852" width="10.09765625" style="21" customWidth="1"/>
    <col min="14853" max="14853" width="9.3984375" style="21" customWidth="1"/>
    <col min="14854" max="14854" width="8.3984375" style="21" customWidth="1"/>
    <col min="14855" max="14855" width="7.3984375" style="21" customWidth="1"/>
    <col min="14856" max="14856" width="7.19921875" style="21" customWidth="1"/>
    <col min="14857" max="14857" width="16.19921875" style="21" customWidth="1"/>
    <col min="14858" max="14858" width="16.69921875" style="21" customWidth="1"/>
    <col min="14859" max="14859" width="10.09765625" style="21" customWidth="1"/>
    <col min="14860" max="14860" width="16.09765625" style="21" customWidth="1"/>
    <col min="14861" max="14861" width="13.09765625" style="21" customWidth="1"/>
    <col min="14862" max="14862" width="14.3984375" style="21" customWidth="1"/>
    <col min="14863" max="14863" width="11.69921875" style="21" bestFit="1" customWidth="1"/>
    <col min="14864" max="15103" width="8.796875" style="21"/>
    <col min="15104" max="15104" width="4.09765625" style="21" bestFit="1" customWidth="1"/>
    <col min="15105" max="15105" width="21.3984375" style="21" customWidth="1"/>
    <col min="15106" max="15106" width="8.3984375" style="21" customWidth="1"/>
    <col min="15107" max="15107" width="9" style="21" customWidth="1"/>
    <col min="15108" max="15108" width="10.09765625" style="21" customWidth="1"/>
    <col min="15109" max="15109" width="9.3984375" style="21" customWidth="1"/>
    <col min="15110" max="15110" width="8.3984375" style="21" customWidth="1"/>
    <col min="15111" max="15111" width="7.3984375" style="21" customWidth="1"/>
    <col min="15112" max="15112" width="7.19921875" style="21" customWidth="1"/>
    <col min="15113" max="15113" width="16.19921875" style="21" customWidth="1"/>
    <col min="15114" max="15114" width="16.69921875" style="21" customWidth="1"/>
    <col min="15115" max="15115" width="10.09765625" style="21" customWidth="1"/>
    <col min="15116" max="15116" width="16.09765625" style="21" customWidth="1"/>
    <col min="15117" max="15117" width="13.09765625" style="21" customWidth="1"/>
    <col min="15118" max="15118" width="14.3984375" style="21" customWidth="1"/>
    <col min="15119" max="15119" width="11.69921875" style="21" bestFit="1" customWidth="1"/>
    <col min="15120" max="15359" width="8.796875" style="21"/>
    <col min="15360" max="15360" width="4.09765625" style="21" bestFit="1" customWidth="1"/>
    <col min="15361" max="15361" width="21.3984375" style="21" customWidth="1"/>
    <col min="15362" max="15362" width="8.3984375" style="21" customWidth="1"/>
    <col min="15363" max="15363" width="9" style="21" customWidth="1"/>
    <col min="15364" max="15364" width="10.09765625" style="21" customWidth="1"/>
    <col min="15365" max="15365" width="9.3984375" style="21" customWidth="1"/>
    <col min="15366" max="15366" width="8.3984375" style="21" customWidth="1"/>
    <col min="15367" max="15367" width="7.3984375" style="21" customWidth="1"/>
    <col min="15368" max="15368" width="7.19921875" style="21" customWidth="1"/>
    <col min="15369" max="15369" width="16.19921875" style="21" customWidth="1"/>
    <col min="15370" max="15370" width="16.69921875" style="21" customWidth="1"/>
    <col min="15371" max="15371" width="10.09765625" style="21" customWidth="1"/>
    <col min="15372" max="15372" width="16.09765625" style="21" customWidth="1"/>
    <col min="15373" max="15373" width="13.09765625" style="21" customWidth="1"/>
    <col min="15374" max="15374" width="14.3984375" style="21" customWidth="1"/>
    <col min="15375" max="15375" width="11.69921875" style="21" bestFit="1" customWidth="1"/>
    <col min="15376" max="15615" width="8.796875" style="21"/>
    <col min="15616" max="15616" width="4.09765625" style="21" bestFit="1" customWidth="1"/>
    <col min="15617" max="15617" width="21.3984375" style="21" customWidth="1"/>
    <col min="15618" max="15618" width="8.3984375" style="21" customWidth="1"/>
    <col min="15619" max="15619" width="9" style="21" customWidth="1"/>
    <col min="15620" max="15620" width="10.09765625" style="21" customWidth="1"/>
    <col min="15621" max="15621" width="9.3984375" style="21" customWidth="1"/>
    <col min="15622" max="15622" width="8.3984375" style="21" customWidth="1"/>
    <col min="15623" max="15623" width="7.3984375" style="21" customWidth="1"/>
    <col min="15624" max="15624" width="7.19921875" style="21" customWidth="1"/>
    <col min="15625" max="15625" width="16.19921875" style="21" customWidth="1"/>
    <col min="15626" max="15626" width="16.69921875" style="21" customWidth="1"/>
    <col min="15627" max="15627" width="10.09765625" style="21" customWidth="1"/>
    <col min="15628" max="15628" width="16.09765625" style="21" customWidth="1"/>
    <col min="15629" max="15629" width="13.09765625" style="21" customWidth="1"/>
    <col min="15630" max="15630" width="14.3984375" style="21" customWidth="1"/>
    <col min="15631" max="15631" width="11.69921875" style="21" bestFit="1" customWidth="1"/>
    <col min="15632" max="15871" width="8.796875" style="21"/>
    <col min="15872" max="15872" width="4.09765625" style="21" bestFit="1" customWidth="1"/>
    <col min="15873" max="15873" width="21.3984375" style="21" customWidth="1"/>
    <col min="15874" max="15874" width="8.3984375" style="21" customWidth="1"/>
    <col min="15875" max="15875" width="9" style="21" customWidth="1"/>
    <col min="15876" max="15876" width="10.09765625" style="21" customWidth="1"/>
    <col min="15877" max="15877" width="9.3984375" style="21" customWidth="1"/>
    <col min="15878" max="15878" width="8.3984375" style="21" customWidth="1"/>
    <col min="15879" max="15879" width="7.3984375" style="21" customWidth="1"/>
    <col min="15880" max="15880" width="7.19921875" style="21" customWidth="1"/>
    <col min="15881" max="15881" width="16.19921875" style="21" customWidth="1"/>
    <col min="15882" max="15882" width="16.69921875" style="21" customWidth="1"/>
    <col min="15883" max="15883" width="10.09765625" style="21" customWidth="1"/>
    <col min="15884" max="15884" width="16.09765625" style="21" customWidth="1"/>
    <col min="15885" max="15885" width="13.09765625" style="21" customWidth="1"/>
    <col min="15886" max="15886" width="14.3984375" style="21" customWidth="1"/>
    <col min="15887" max="15887" width="11.69921875" style="21" bestFit="1" customWidth="1"/>
    <col min="15888" max="16127" width="8.796875" style="21"/>
    <col min="16128" max="16128" width="4.09765625" style="21" bestFit="1" customWidth="1"/>
    <col min="16129" max="16129" width="21.3984375" style="21" customWidth="1"/>
    <col min="16130" max="16130" width="8.3984375" style="21" customWidth="1"/>
    <col min="16131" max="16131" width="9" style="21" customWidth="1"/>
    <col min="16132" max="16132" width="10.09765625" style="21" customWidth="1"/>
    <col min="16133" max="16133" width="9.3984375" style="21" customWidth="1"/>
    <col min="16134" max="16134" width="8.3984375" style="21" customWidth="1"/>
    <col min="16135" max="16135" width="7.3984375" style="21" customWidth="1"/>
    <col min="16136" max="16136" width="7.19921875" style="21" customWidth="1"/>
    <col min="16137" max="16137" width="16.19921875" style="21" customWidth="1"/>
    <col min="16138" max="16138" width="16.69921875" style="21" customWidth="1"/>
    <col min="16139" max="16139" width="10.09765625" style="21" customWidth="1"/>
    <col min="16140" max="16140" width="16.09765625" style="21" customWidth="1"/>
    <col min="16141" max="16141" width="13.09765625" style="21" customWidth="1"/>
    <col min="16142" max="16142" width="14.3984375" style="21" customWidth="1"/>
    <col min="16143" max="16143" width="11.69921875" style="21" bestFit="1" customWidth="1"/>
    <col min="16144" max="16384" width="8.796875" style="21"/>
  </cols>
  <sheetData>
    <row r="1" spans="1:18" x14ac:dyDescent="0.25">
      <c r="A1" s="701"/>
      <c r="B1" s="701"/>
      <c r="C1" s="701"/>
      <c r="D1" s="701"/>
      <c r="N1" s="287"/>
    </row>
    <row r="2" spans="1:18" x14ac:dyDescent="0.25">
      <c r="A2" s="702"/>
      <c r="B2" s="702"/>
      <c r="C2" s="702"/>
      <c r="D2" s="702"/>
    </row>
    <row r="3" spans="1:18" s="22" customFormat="1" ht="16.5" customHeight="1" x14ac:dyDescent="0.25">
      <c r="A3" s="703" t="s">
        <v>1054</v>
      </c>
      <c r="B3" s="703"/>
      <c r="C3" s="703"/>
      <c r="D3" s="703"/>
      <c r="E3" s="703"/>
      <c r="F3" s="703"/>
      <c r="G3" s="703"/>
      <c r="H3" s="703"/>
      <c r="I3" s="703"/>
      <c r="J3" s="703"/>
      <c r="K3" s="703"/>
      <c r="L3" s="703"/>
      <c r="M3" s="703"/>
      <c r="N3" s="543"/>
      <c r="O3" s="543"/>
      <c r="P3" s="543"/>
      <c r="Q3" s="543"/>
    </row>
    <row r="4" spans="1:18" x14ac:dyDescent="0.25">
      <c r="A4" s="23"/>
      <c r="B4" s="24"/>
      <c r="N4" s="542"/>
    </row>
    <row r="5" spans="1:18" s="31" customFormat="1" ht="20.25" customHeight="1" x14ac:dyDescent="0.25">
      <c r="A5" s="704" t="s">
        <v>6</v>
      </c>
      <c r="B5" s="704" t="s">
        <v>0</v>
      </c>
      <c r="C5" s="704" t="s">
        <v>64</v>
      </c>
      <c r="D5" s="706" t="s">
        <v>54</v>
      </c>
      <c r="E5" s="707"/>
      <c r="F5" s="707"/>
      <c r="G5" s="707"/>
      <c r="H5" s="707"/>
      <c r="I5" s="704" t="s">
        <v>355</v>
      </c>
      <c r="J5" s="696" t="s">
        <v>1004</v>
      </c>
      <c r="K5" s="696" t="s">
        <v>1055</v>
      </c>
      <c r="L5" s="609" t="s">
        <v>999</v>
      </c>
      <c r="M5" s="610"/>
      <c r="N5" s="696" t="s">
        <v>1167</v>
      </c>
      <c r="O5" s="698" t="s">
        <v>394</v>
      </c>
      <c r="P5" s="699"/>
      <c r="Q5" s="700"/>
    </row>
    <row r="6" spans="1:18" s="26" customFormat="1" ht="71.25" customHeight="1" x14ac:dyDescent="0.3">
      <c r="A6" s="705"/>
      <c r="B6" s="705"/>
      <c r="C6" s="705"/>
      <c r="D6" s="608" t="s">
        <v>57</v>
      </c>
      <c r="E6" s="611" t="s">
        <v>59</v>
      </c>
      <c r="F6" s="611" t="s">
        <v>67</v>
      </c>
      <c r="G6" s="611" t="s">
        <v>60</v>
      </c>
      <c r="H6" s="611" t="s">
        <v>998</v>
      </c>
      <c r="I6" s="705"/>
      <c r="J6" s="697"/>
      <c r="K6" s="697"/>
      <c r="L6" s="611" t="s">
        <v>68</v>
      </c>
      <c r="M6" s="611" t="s">
        <v>1014</v>
      </c>
      <c r="N6" s="697"/>
      <c r="O6" s="612" t="s">
        <v>302</v>
      </c>
      <c r="P6" s="612" t="s">
        <v>378</v>
      </c>
      <c r="Q6" s="612" t="s">
        <v>379</v>
      </c>
    </row>
    <row r="7" spans="1:18" s="650" customFormat="1" ht="45" x14ac:dyDescent="0.3">
      <c r="A7" s="613" t="s">
        <v>15</v>
      </c>
      <c r="B7" s="613" t="s">
        <v>16</v>
      </c>
      <c r="C7" s="613">
        <v>1</v>
      </c>
      <c r="D7" s="613" t="s">
        <v>70</v>
      </c>
      <c r="E7" s="613" t="s">
        <v>1000</v>
      </c>
      <c r="F7" s="613" t="s">
        <v>1001</v>
      </c>
      <c r="G7" s="613" t="s">
        <v>71</v>
      </c>
      <c r="H7" s="613" t="s">
        <v>72</v>
      </c>
      <c r="I7" s="613" t="s">
        <v>1002</v>
      </c>
      <c r="J7" s="614" t="s">
        <v>1003</v>
      </c>
      <c r="K7" s="614" t="s">
        <v>1007</v>
      </c>
      <c r="L7" s="613" t="s">
        <v>1006</v>
      </c>
      <c r="M7" s="613" t="s">
        <v>819</v>
      </c>
      <c r="N7" s="615" t="s">
        <v>1008</v>
      </c>
      <c r="O7" s="616" t="s">
        <v>821</v>
      </c>
      <c r="P7" s="616" t="s">
        <v>1009</v>
      </c>
      <c r="Q7" s="613" t="s">
        <v>1010</v>
      </c>
    </row>
    <row r="8" spans="1:18" s="27" customFormat="1" ht="24.75" customHeight="1" x14ac:dyDescent="0.3">
      <c r="A8" s="617" t="s">
        <v>5</v>
      </c>
      <c r="B8" s="618" t="s">
        <v>73</v>
      </c>
      <c r="C8" s="619">
        <f>SUM(C9:C60)</f>
        <v>195.66999999999996</v>
      </c>
      <c r="D8" s="619">
        <f t="shared" ref="D8:H8" si="0">SUM(D9:D152)</f>
        <v>7.2489999999999997</v>
      </c>
      <c r="E8" s="619">
        <f t="shared" si="0"/>
        <v>6.6</v>
      </c>
      <c r="F8" s="619">
        <f t="shared" si="0"/>
        <v>0.1</v>
      </c>
      <c r="G8" s="619">
        <f t="shared" si="0"/>
        <v>0.30000000000000004</v>
      </c>
      <c r="H8" s="620">
        <f t="shared" si="0"/>
        <v>0.249</v>
      </c>
      <c r="I8" s="621">
        <f t="shared" ref="I8:J8" si="1">SUBTOTAL(9,I9:I60)</f>
        <v>5697965520</v>
      </c>
      <c r="J8" s="621">
        <f t="shared" si="1"/>
        <v>1336382377.2</v>
      </c>
      <c r="K8" s="621">
        <f>SUBTOTAL(9,K9:K60)</f>
        <v>7034347897.1999998</v>
      </c>
      <c r="L8" s="621">
        <f>SUM(L9:L152)</f>
        <v>10100000</v>
      </c>
      <c r="M8" s="621">
        <f>SUBTOTAL(9,M10:M60)</f>
        <v>3000000</v>
      </c>
      <c r="N8" s="621">
        <f>SUM(N9:N60)</f>
        <v>7047447897.1999998</v>
      </c>
      <c r="O8" s="621">
        <f>SUM(O9:O60)</f>
        <v>5988942254.1999998</v>
      </c>
      <c r="P8" s="621">
        <f>SUM(P9:P60)</f>
        <v>1058505643</v>
      </c>
      <c r="Q8" s="621">
        <f t="shared" ref="Q8" si="2">SUM(Q9:Q60)</f>
        <v>0</v>
      </c>
      <c r="R8" s="621"/>
    </row>
    <row r="9" spans="1:18" s="28" customFormat="1" ht="33" customHeight="1" x14ac:dyDescent="0.3">
      <c r="A9" s="622">
        <v>1</v>
      </c>
      <c r="B9" s="623" t="s">
        <v>74</v>
      </c>
      <c r="C9" s="624">
        <v>5.0199999999999996</v>
      </c>
      <c r="D9" s="625">
        <f>+E9+F9+G9+H9</f>
        <v>0.6</v>
      </c>
      <c r="E9" s="626">
        <v>0.6</v>
      </c>
      <c r="F9" s="626"/>
      <c r="G9" s="626">
        <v>0</v>
      </c>
      <c r="H9" s="626"/>
      <c r="I9" s="627">
        <f>(C9+D9)*2340000*12</f>
        <v>157809599.99999997</v>
      </c>
      <c r="J9" s="627">
        <f>(C9+E9+H9)*2340000*23.5%*12</f>
        <v>37085255.999999993</v>
      </c>
      <c r="K9" s="627">
        <f>J9+I9</f>
        <v>194894855.99999997</v>
      </c>
      <c r="L9" s="628">
        <v>450000</v>
      </c>
      <c r="M9" s="628">
        <v>0</v>
      </c>
      <c r="N9" s="627">
        <f t="shared" ref="N9:N40" si="3">SUM(K9:M9)</f>
        <v>195344855.99999997</v>
      </c>
      <c r="O9" s="629">
        <f>N9</f>
        <v>195344855.99999997</v>
      </c>
      <c r="P9" s="630"/>
      <c r="Q9" s="630"/>
    </row>
    <row r="10" spans="1:18" s="28" customFormat="1" ht="19.899999999999999" customHeight="1" x14ac:dyDescent="0.3">
      <c r="A10" s="622">
        <v>2</v>
      </c>
      <c r="B10" s="623" t="s">
        <v>75</v>
      </c>
      <c r="C10" s="624">
        <v>4.34</v>
      </c>
      <c r="D10" s="625">
        <f t="shared" ref="D10:D46" si="4">+E10+F10+G10+H10</f>
        <v>0.4</v>
      </c>
      <c r="E10" s="626">
        <v>0.4</v>
      </c>
      <c r="F10" s="626"/>
      <c r="G10" s="626">
        <v>0</v>
      </c>
      <c r="H10" s="626"/>
      <c r="I10" s="627">
        <f t="shared" ref="I10:I60" si="5">(C10+D10)*2340000*12</f>
        <v>133099200</v>
      </c>
      <c r="J10" s="627">
        <f t="shared" ref="J10:J60" si="6">(C10+E10+H10)*2340000*23.5%*12</f>
        <v>31278312</v>
      </c>
      <c r="K10" s="627">
        <f t="shared" ref="K10:K45" si="7">J10+I10</f>
        <v>164377512</v>
      </c>
      <c r="L10" s="628">
        <v>450000</v>
      </c>
      <c r="M10" s="628">
        <v>0</v>
      </c>
      <c r="N10" s="627">
        <f t="shared" si="3"/>
        <v>164827512</v>
      </c>
      <c r="O10" s="629">
        <f t="shared" ref="O10:O46" si="8">N10</f>
        <v>164827512</v>
      </c>
      <c r="P10" s="630"/>
      <c r="Q10" s="630"/>
    </row>
    <row r="11" spans="1:18" s="28" customFormat="1" ht="19.899999999999999" customHeight="1" x14ac:dyDescent="0.3">
      <c r="A11" s="622">
        <v>3</v>
      </c>
      <c r="B11" s="623" t="s">
        <v>76</v>
      </c>
      <c r="C11" s="624">
        <v>4.32</v>
      </c>
      <c r="D11" s="625">
        <f t="shared" si="4"/>
        <v>0.4</v>
      </c>
      <c r="E11" s="626">
        <v>0.4</v>
      </c>
      <c r="F11" s="626"/>
      <c r="G11" s="626">
        <v>0</v>
      </c>
      <c r="H11" s="626"/>
      <c r="I11" s="627">
        <f t="shared" si="5"/>
        <v>132537600.00000003</v>
      </c>
      <c r="J11" s="627">
        <f t="shared" si="6"/>
        <v>31146336.000000007</v>
      </c>
      <c r="K11" s="627">
        <f t="shared" si="7"/>
        <v>163683936.00000003</v>
      </c>
      <c r="L11" s="628">
        <v>450000</v>
      </c>
      <c r="M11" s="628">
        <v>0</v>
      </c>
      <c r="N11" s="627">
        <f t="shared" si="3"/>
        <v>164133936.00000003</v>
      </c>
      <c r="O11" s="629">
        <f t="shared" si="8"/>
        <v>164133936.00000003</v>
      </c>
      <c r="P11" s="630"/>
      <c r="Q11" s="630"/>
    </row>
    <row r="12" spans="1:18" s="28" customFormat="1" ht="19.899999999999999" customHeight="1" x14ac:dyDescent="0.3">
      <c r="A12" s="622">
        <v>4</v>
      </c>
      <c r="B12" s="623" t="s">
        <v>77</v>
      </c>
      <c r="C12" s="624">
        <v>4.32</v>
      </c>
      <c r="D12" s="625">
        <f t="shared" si="4"/>
        <v>0.2</v>
      </c>
      <c r="E12" s="626">
        <v>0.2</v>
      </c>
      <c r="F12" s="626"/>
      <c r="G12" s="626"/>
      <c r="H12" s="626"/>
      <c r="I12" s="627">
        <f t="shared" si="5"/>
        <v>126921600.00000003</v>
      </c>
      <c r="J12" s="627">
        <f t="shared" si="6"/>
        <v>29826576.000000007</v>
      </c>
      <c r="K12" s="627">
        <f t="shared" si="7"/>
        <v>156748176.00000003</v>
      </c>
      <c r="L12" s="628">
        <v>300000</v>
      </c>
      <c r="M12" s="628">
        <v>0</v>
      </c>
      <c r="N12" s="627">
        <f t="shared" si="3"/>
        <v>157048176.00000003</v>
      </c>
      <c r="O12" s="629">
        <f t="shared" si="8"/>
        <v>157048176.00000003</v>
      </c>
      <c r="P12" s="630"/>
      <c r="Q12" s="630"/>
    </row>
    <row r="13" spans="1:18" s="28" customFormat="1" ht="19.899999999999999" customHeight="1" x14ac:dyDescent="0.3">
      <c r="A13" s="622">
        <v>5</v>
      </c>
      <c r="B13" s="623" t="s">
        <v>78</v>
      </c>
      <c r="C13" s="624">
        <v>4.6500000000000004</v>
      </c>
      <c r="D13" s="625">
        <f t="shared" si="4"/>
        <v>0.30000000000000004</v>
      </c>
      <c r="E13" s="626">
        <v>0.2</v>
      </c>
      <c r="F13" s="626"/>
      <c r="G13" s="626">
        <v>0.1</v>
      </c>
      <c r="H13" s="626"/>
      <c r="I13" s="627">
        <f t="shared" si="5"/>
        <v>138996000</v>
      </c>
      <c r="J13" s="627">
        <f t="shared" si="6"/>
        <v>32004180.000000007</v>
      </c>
      <c r="K13" s="627">
        <f t="shared" si="7"/>
        <v>171000180</v>
      </c>
      <c r="L13" s="628">
        <v>400000</v>
      </c>
      <c r="M13" s="628">
        <v>0</v>
      </c>
      <c r="N13" s="627">
        <f t="shared" si="3"/>
        <v>171400180</v>
      </c>
      <c r="O13" s="629">
        <f t="shared" si="8"/>
        <v>171400180</v>
      </c>
      <c r="P13" s="630"/>
      <c r="Q13" s="630"/>
    </row>
    <row r="14" spans="1:18" s="28" customFormat="1" ht="19.899999999999999" customHeight="1" x14ac:dyDescent="0.3">
      <c r="A14" s="622">
        <v>6</v>
      </c>
      <c r="B14" s="623" t="s">
        <v>79</v>
      </c>
      <c r="C14" s="624">
        <v>3.33</v>
      </c>
      <c r="D14" s="625">
        <f t="shared" si="4"/>
        <v>0.1</v>
      </c>
      <c r="E14" s="626">
        <v>0</v>
      </c>
      <c r="F14" s="626">
        <v>0.1</v>
      </c>
      <c r="G14" s="626"/>
      <c r="H14" s="626"/>
      <c r="I14" s="627">
        <f t="shared" si="5"/>
        <v>96314400</v>
      </c>
      <c r="J14" s="627">
        <f t="shared" si="6"/>
        <v>21974004</v>
      </c>
      <c r="K14" s="627">
        <f t="shared" si="7"/>
        <v>118288404</v>
      </c>
      <c r="L14" s="628">
        <v>300000</v>
      </c>
      <c r="M14" s="628">
        <v>0</v>
      </c>
      <c r="N14" s="627">
        <f t="shared" si="3"/>
        <v>118588404</v>
      </c>
      <c r="O14" s="629">
        <f t="shared" si="8"/>
        <v>118588404</v>
      </c>
      <c r="P14" s="630"/>
      <c r="Q14" s="630"/>
    </row>
    <row r="15" spans="1:18" s="28" customFormat="1" ht="19.899999999999999" customHeight="1" x14ac:dyDescent="0.3">
      <c r="A15" s="622">
        <v>7</v>
      </c>
      <c r="B15" s="623" t="s">
        <v>80</v>
      </c>
      <c r="C15" s="624">
        <v>4.9800000000000004</v>
      </c>
      <c r="D15" s="625">
        <f t="shared" si="4"/>
        <v>0.3</v>
      </c>
      <c r="E15" s="626">
        <v>0.3</v>
      </c>
      <c r="F15" s="626"/>
      <c r="G15" s="626"/>
      <c r="H15" s="626"/>
      <c r="I15" s="627">
        <f t="shared" si="5"/>
        <v>148262400</v>
      </c>
      <c r="J15" s="627">
        <f t="shared" si="6"/>
        <v>34841664</v>
      </c>
      <c r="K15" s="627">
        <f t="shared" si="7"/>
        <v>183104064</v>
      </c>
      <c r="L15" s="628">
        <v>400000</v>
      </c>
      <c r="M15" s="628">
        <v>0</v>
      </c>
      <c r="N15" s="627">
        <f t="shared" si="3"/>
        <v>183504064</v>
      </c>
      <c r="O15" s="629">
        <f t="shared" si="8"/>
        <v>183504064</v>
      </c>
      <c r="P15" s="630"/>
      <c r="Q15" s="630"/>
    </row>
    <row r="16" spans="1:18" s="28" customFormat="1" ht="19.899999999999999" customHeight="1" x14ac:dyDescent="0.3">
      <c r="A16" s="622">
        <v>8</v>
      </c>
      <c r="B16" s="623" t="s">
        <v>81</v>
      </c>
      <c r="C16" s="624">
        <v>2.67</v>
      </c>
      <c r="D16" s="625">
        <f t="shared" si="4"/>
        <v>0</v>
      </c>
      <c r="E16" s="626">
        <v>0</v>
      </c>
      <c r="F16" s="626"/>
      <c r="G16" s="626"/>
      <c r="H16" s="626"/>
      <c r="I16" s="627">
        <f t="shared" si="5"/>
        <v>74973600</v>
      </c>
      <c r="J16" s="627">
        <f t="shared" si="6"/>
        <v>17618796</v>
      </c>
      <c r="K16" s="627">
        <f t="shared" si="7"/>
        <v>92592396</v>
      </c>
      <c r="L16" s="628"/>
      <c r="M16" s="628">
        <v>0</v>
      </c>
      <c r="N16" s="627">
        <f t="shared" si="3"/>
        <v>92592396</v>
      </c>
      <c r="O16" s="629">
        <f t="shared" si="8"/>
        <v>92592396</v>
      </c>
      <c r="P16" s="630"/>
      <c r="Q16" s="630"/>
    </row>
    <row r="17" spans="1:17" s="28" customFormat="1" ht="19.899999999999999" customHeight="1" x14ac:dyDescent="0.3">
      <c r="A17" s="622">
        <v>9</v>
      </c>
      <c r="B17" s="623" t="s">
        <v>82</v>
      </c>
      <c r="C17" s="624">
        <v>3.66</v>
      </c>
      <c r="D17" s="625">
        <f t="shared" si="4"/>
        <v>0.2</v>
      </c>
      <c r="E17" s="626">
        <v>0.2</v>
      </c>
      <c r="F17" s="626"/>
      <c r="G17" s="626"/>
      <c r="H17" s="626"/>
      <c r="I17" s="627">
        <f t="shared" si="5"/>
        <v>108388800</v>
      </c>
      <c r="J17" s="627">
        <f t="shared" si="6"/>
        <v>25471368</v>
      </c>
      <c r="K17" s="627">
        <f t="shared" si="7"/>
        <v>133860168</v>
      </c>
      <c r="L17" s="628">
        <v>300000</v>
      </c>
      <c r="M17" s="628">
        <v>0</v>
      </c>
      <c r="N17" s="627">
        <f t="shared" si="3"/>
        <v>134160168</v>
      </c>
      <c r="O17" s="629">
        <f t="shared" si="8"/>
        <v>134160168</v>
      </c>
      <c r="P17" s="630"/>
      <c r="Q17" s="630"/>
    </row>
    <row r="18" spans="1:17" s="28" customFormat="1" ht="19.899999999999999" customHeight="1" x14ac:dyDescent="0.3">
      <c r="A18" s="622">
        <v>10</v>
      </c>
      <c r="B18" s="623" t="s">
        <v>83</v>
      </c>
      <c r="C18" s="624">
        <v>3</v>
      </c>
      <c r="D18" s="625">
        <f t="shared" si="4"/>
        <v>0.2</v>
      </c>
      <c r="E18" s="626">
        <v>0.2</v>
      </c>
      <c r="F18" s="626"/>
      <c r="G18" s="626"/>
      <c r="H18" s="626"/>
      <c r="I18" s="627">
        <f t="shared" si="5"/>
        <v>89856000</v>
      </c>
      <c r="J18" s="627">
        <f t="shared" si="6"/>
        <v>21116160</v>
      </c>
      <c r="K18" s="627">
        <f t="shared" si="7"/>
        <v>110972160</v>
      </c>
      <c r="L18" s="628">
        <v>300000</v>
      </c>
      <c r="M18" s="628">
        <v>0</v>
      </c>
      <c r="N18" s="627">
        <f t="shared" si="3"/>
        <v>111272160</v>
      </c>
      <c r="O18" s="629">
        <f t="shared" si="8"/>
        <v>111272160</v>
      </c>
      <c r="P18" s="630"/>
      <c r="Q18" s="630"/>
    </row>
    <row r="19" spans="1:17" s="28" customFormat="1" ht="19.899999999999999" customHeight="1" x14ac:dyDescent="0.3">
      <c r="A19" s="622">
        <v>11</v>
      </c>
      <c r="B19" s="623" t="s">
        <v>84</v>
      </c>
      <c r="C19" s="624">
        <v>3.99</v>
      </c>
      <c r="D19" s="625">
        <f t="shared" si="4"/>
        <v>0</v>
      </c>
      <c r="E19" s="626"/>
      <c r="F19" s="626"/>
      <c r="G19" s="626"/>
      <c r="H19" s="626"/>
      <c r="I19" s="627">
        <f t="shared" si="5"/>
        <v>112039200</v>
      </c>
      <c r="J19" s="627">
        <f t="shared" si="6"/>
        <v>26329212</v>
      </c>
      <c r="K19" s="627">
        <f t="shared" si="7"/>
        <v>138368412</v>
      </c>
      <c r="L19" s="628"/>
      <c r="M19" s="628">
        <v>0</v>
      </c>
      <c r="N19" s="627">
        <f t="shared" si="3"/>
        <v>138368412</v>
      </c>
      <c r="O19" s="629">
        <f t="shared" si="8"/>
        <v>138368412</v>
      </c>
      <c r="P19" s="630"/>
      <c r="Q19" s="630"/>
    </row>
    <row r="20" spans="1:17" s="28" customFormat="1" ht="19.899999999999999" customHeight="1" x14ac:dyDescent="0.3">
      <c r="A20" s="622">
        <v>12</v>
      </c>
      <c r="B20" s="623" t="s">
        <v>85</v>
      </c>
      <c r="C20" s="624">
        <v>3.33</v>
      </c>
      <c r="D20" s="625">
        <f t="shared" si="4"/>
        <v>0</v>
      </c>
      <c r="E20" s="626"/>
      <c r="F20" s="626"/>
      <c r="G20" s="626"/>
      <c r="H20" s="626"/>
      <c r="I20" s="627">
        <f t="shared" si="5"/>
        <v>93506400</v>
      </c>
      <c r="J20" s="627">
        <f t="shared" si="6"/>
        <v>21974004</v>
      </c>
      <c r="K20" s="627">
        <f t="shared" si="7"/>
        <v>115480404</v>
      </c>
      <c r="L20" s="628"/>
      <c r="M20" s="628">
        <v>0</v>
      </c>
      <c r="N20" s="627">
        <f t="shared" si="3"/>
        <v>115480404</v>
      </c>
      <c r="O20" s="629">
        <f t="shared" si="8"/>
        <v>115480404</v>
      </c>
      <c r="P20" s="630"/>
      <c r="Q20" s="630"/>
    </row>
    <row r="21" spans="1:17" s="28" customFormat="1" ht="19.899999999999999" customHeight="1" x14ac:dyDescent="0.3">
      <c r="A21" s="622">
        <v>13</v>
      </c>
      <c r="B21" s="623" t="s">
        <v>86</v>
      </c>
      <c r="C21" s="624">
        <v>3.99</v>
      </c>
      <c r="D21" s="625">
        <f t="shared" si="4"/>
        <v>0.3</v>
      </c>
      <c r="E21" s="626">
        <v>0.3</v>
      </c>
      <c r="F21" s="626"/>
      <c r="G21" s="626"/>
      <c r="H21" s="626"/>
      <c r="I21" s="627">
        <f t="shared" si="5"/>
        <v>120463200</v>
      </c>
      <c r="J21" s="627">
        <f t="shared" si="6"/>
        <v>28308852</v>
      </c>
      <c r="K21" s="627">
        <f t="shared" si="7"/>
        <v>148772052</v>
      </c>
      <c r="L21" s="628">
        <v>400000</v>
      </c>
      <c r="M21" s="628">
        <v>0</v>
      </c>
      <c r="N21" s="627">
        <f t="shared" si="3"/>
        <v>149172052</v>
      </c>
      <c r="O21" s="629">
        <f t="shared" si="8"/>
        <v>149172052</v>
      </c>
      <c r="P21" s="630"/>
      <c r="Q21" s="630"/>
    </row>
    <row r="22" spans="1:17" s="28" customFormat="1" ht="19.899999999999999" customHeight="1" x14ac:dyDescent="0.3">
      <c r="A22" s="622">
        <v>14</v>
      </c>
      <c r="B22" s="623" t="s">
        <v>87</v>
      </c>
      <c r="C22" s="624">
        <v>2.67</v>
      </c>
      <c r="D22" s="625">
        <f>+E22+F22+G22+H22</f>
        <v>0</v>
      </c>
      <c r="E22" s="626">
        <v>0</v>
      </c>
      <c r="F22" s="626"/>
      <c r="G22" s="626">
        <v>0</v>
      </c>
      <c r="H22" s="626"/>
      <c r="I22" s="627">
        <f t="shared" si="5"/>
        <v>74973600</v>
      </c>
      <c r="J22" s="627">
        <f t="shared" si="6"/>
        <v>17618796</v>
      </c>
      <c r="K22" s="627">
        <f t="shared" si="7"/>
        <v>92592396</v>
      </c>
      <c r="L22" s="628"/>
      <c r="M22" s="628">
        <v>250000</v>
      </c>
      <c r="N22" s="627">
        <f t="shared" si="3"/>
        <v>92842396</v>
      </c>
      <c r="O22" s="629">
        <f t="shared" si="8"/>
        <v>92842396</v>
      </c>
      <c r="P22" s="630"/>
      <c r="Q22" s="630"/>
    </row>
    <row r="23" spans="1:17" s="28" customFormat="1" ht="19.899999999999999" customHeight="1" x14ac:dyDescent="0.3">
      <c r="A23" s="622">
        <v>15</v>
      </c>
      <c r="B23" s="623" t="s">
        <v>88</v>
      </c>
      <c r="C23" s="624">
        <v>3.66</v>
      </c>
      <c r="D23" s="625">
        <f t="shared" si="4"/>
        <v>0.2</v>
      </c>
      <c r="E23" s="626">
        <v>0.2</v>
      </c>
      <c r="F23" s="626"/>
      <c r="G23" s="626">
        <v>0</v>
      </c>
      <c r="H23" s="626"/>
      <c r="I23" s="627">
        <f t="shared" si="5"/>
        <v>108388800</v>
      </c>
      <c r="J23" s="627">
        <f t="shared" si="6"/>
        <v>25471368</v>
      </c>
      <c r="K23" s="627">
        <f t="shared" si="7"/>
        <v>133860168</v>
      </c>
      <c r="L23" s="628">
        <v>300000</v>
      </c>
      <c r="M23" s="628">
        <v>250000</v>
      </c>
      <c r="N23" s="627">
        <f t="shared" si="3"/>
        <v>134410168</v>
      </c>
      <c r="O23" s="629">
        <f t="shared" si="8"/>
        <v>134410168</v>
      </c>
      <c r="P23" s="630"/>
      <c r="Q23" s="630"/>
    </row>
    <row r="24" spans="1:17" s="28" customFormat="1" ht="19.899999999999999" customHeight="1" x14ac:dyDescent="0.3">
      <c r="A24" s="622">
        <v>16</v>
      </c>
      <c r="B24" s="623" t="s">
        <v>89</v>
      </c>
      <c r="C24" s="624">
        <v>3.66</v>
      </c>
      <c r="D24" s="625">
        <f t="shared" si="4"/>
        <v>0</v>
      </c>
      <c r="E24" s="626">
        <v>0</v>
      </c>
      <c r="F24" s="626"/>
      <c r="G24" s="626">
        <v>0</v>
      </c>
      <c r="H24" s="626"/>
      <c r="I24" s="627">
        <f t="shared" si="5"/>
        <v>102772800</v>
      </c>
      <c r="J24" s="627">
        <f t="shared" si="6"/>
        <v>24151608</v>
      </c>
      <c r="K24" s="627">
        <f t="shared" si="7"/>
        <v>126924408</v>
      </c>
      <c r="L24" s="628">
        <v>400000</v>
      </c>
      <c r="M24" s="628">
        <v>0</v>
      </c>
      <c r="N24" s="627">
        <f t="shared" si="3"/>
        <v>127324408</v>
      </c>
      <c r="O24" s="629">
        <f t="shared" si="8"/>
        <v>127324408</v>
      </c>
      <c r="P24" s="630"/>
      <c r="Q24" s="630"/>
    </row>
    <row r="25" spans="1:17" s="28" customFormat="1" ht="19.899999999999999" customHeight="1" x14ac:dyDescent="0.3">
      <c r="A25" s="622">
        <v>17</v>
      </c>
      <c r="B25" s="623" t="s">
        <v>90</v>
      </c>
      <c r="C25" s="631">
        <v>4.9800000000000004</v>
      </c>
      <c r="D25" s="632">
        <f>+E25+F25+G25+H25</f>
        <v>0.54899999999999993</v>
      </c>
      <c r="E25" s="626">
        <v>0.3</v>
      </c>
      <c r="F25" s="626"/>
      <c r="G25" s="626"/>
      <c r="H25" s="633">
        <v>0.249</v>
      </c>
      <c r="I25" s="627">
        <f t="shared" si="5"/>
        <v>155254320</v>
      </c>
      <c r="J25" s="627">
        <f t="shared" si="6"/>
        <v>36484765.199999996</v>
      </c>
      <c r="K25" s="627">
        <f t="shared" si="7"/>
        <v>191739085.19999999</v>
      </c>
      <c r="L25" s="628">
        <v>400000</v>
      </c>
      <c r="M25" s="628">
        <v>0</v>
      </c>
      <c r="N25" s="627">
        <f t="shared" si="3"/>
        <v>192139085.19999999</v>
      </c>
      <c r="O25" s="629">
        <f t="shared" si="8"/>
        <v>192139085.19999999</v>
      </c>
      <c r="P25" s="630"/>
      <c r="Q25" s="630"/>
    </row>
    <row r="26" spans="1:17" s="28" customFormat="1" ht="31.5" customHeight="1" x14ac:dyDescent="0.3">
      <c r="A26" s="622">
        <v>18</v>
      </c>
      <c r="B26" s="623" t="s">
        <v>91</v>
      </c>
      <c r="C26" s="624">
        <v>3.33</v>
      </c>
      <c r="D26" s="625">
        <f t="shared" si="4"/>
        <v>0.4</v>
      </c>
      <c r="E26" s="626">
        <v>0.2</v>
      </c>
      <c r="F26" s="626"/>
      <c r="G26" s="626">
        <v>0.2</v>
      </c>
      <c r="H26" s="626"/>
      <c r="I26" s="627">
        <f t="shared" si="5"/>
        <v>104738400</v>
      </c>
      <c r="J26" s="627">
        <f t="shared" si="6"/>
        <v>23293764</v>
      </c>
      <c r="K26" s="627">
        <f t="shared" si="7"/>
        <v>128032164</v>
      </c>
      <c r="L26" s="628">
        <v>400000</v>
      </c>
      <c r="M26" s="628">
        <v>0</v>
      </c>
      <c r="N26" s="627">
        <f t="shared" si="3"/>
        <v>128432164</v>
      </c>
      <c r="O26" s="629">
        <f t="shared" si="8"/>
        <v>128432164</v>
      </c>
      <c r="P26" s="630"/>
      <c r="Q26" s="630"/>
    </row>
    <row r="27" spans="1:17" s="28" customFormat="1" ht="19.899999999999999" customHeight="1" x14ac:dyDescent="0.3">
      <c r="A27" s="622">
        <v>19</v>
      </c>
      <c r="B27" s="623" t="s">
        <v>92</v>
      </c>
      <c r="C27" s="624">
        <v>3.33</v>
      </c>
      <c r="D27" s="625">
        <f t="shared" si="4"/>
        <v>0</v>
      </c>
      <c r="E27" s="626">
        <v>0</v>
      </c>
      <c r="F27" s="626"/>
      <c r="G27" s="626"/>
      <c r="H27" s="626"/>
      <c r="I27" s="627">
        <f t="shared" si="5"/>
        <v>93506400</v>
      </c>
      <c r="J27" s="627">
        <f t="shared" si="6"/>
        <v>21974004</v>
      </c>
      <c r="K27" s="627">
        <f t="shared" si="7"/>
        <v>115480404</v>
      </c>
      <c r="L27" s="628">
        <v>400000</v>
      </c>
      <c r="M27" s="628">
        <v>0</v>
      </c>
      <c r="N27" s="627">
        <f t="shared" si="3"/>
        <v>115880404</v>
      </c>
      <c r="O27" s="629">
        <f t="shared" si="8"/>
        <v>115880404</v>
      </c>
      <c r="P27" s="630"/>
      <c r="Q27" s="630"/>
    </row>
    <row r="28" spans="1:17" s="28" customFormat="1" ht="19.899999999999999" customHeight="1" x14ac:dyDescent="0.3">
      <c r="A28" s="622">
        <v>20</v>
      </c>
      <c r="B28" s="623" t="s">
        <v>93</v>
      </c>
      <c r="C28" s="624">
        <v>3.66</v>
      </c>
      <c r="D28" s="625">
        <f t="shared" si="4"/>
        <v>0</v>
      </c>
      <c r="E28" s="626">
        <v>0</v>
      </c>
      <c r="F28" s="626"/>
      <c r="G28" s="626"/>
      <c r="H28" s="626"/>
      <c r="I28" s="627">
        <f t="shared" si="5"/>
        <v>102772800</v>
      </c>
      <c r="J28" s="627">
        <f t="shared" si="6"/>
        <v>24151608</v>
      </c>
      <c r="K28" s="627">
        <f t="shared" si="7"/>
        <v>126924408</v>
      </c>
      <c r="L28" s="628"/>
      <c r="M28" s="628">
        <v>0</v>
      </c>
      <c r="N28" s="627">
        <f t="shared" si="3"/>
        <v>126924408</v>
      </c>
      <c r="O28" s="629">
        <f t="shared" si="8"/>
        <v>126924408</v>
      </c>
      <c r="P28" s="630"/>
      <c r="Q28" s="630"/>
    </row>
    <row r="29" spans="1:17" s="28" customFormat="1" ht="31.5" customHeight="1" x14ac:dyDescent="0.3">
      <c r="A29" s="622">
        <v>21</v>
      </c>
      <c r="B29" s="623" t="s">
        <v>94</v>
      </c>
      <c r="C29" s="624">
        <v>4.32</v>
      </c>
      <c r="D29" s="625">
        <f t="shared" si="4"/>
        <v>0.3</v>
      </c>
      <c r="E29" s="626">
        <v>0.3</v>
      </c>
      <c r="F29" s="626"/>
      <c r="G29" s="626"/>
      <c r="H29" s="626"/>
      <c r="I29" s="627">
        <f t="shared" si="5"/>
        <v>129729600</v>
      </c>
      <c r="J29" s="627">
        <f t="shared" si="6"/>
        <v>30486456</v>
      </c>
      <c r="K29" s="627">
        <f t="shared" si="7"/>
        <v>160216056</v>
      </c>
      <c r="L29" s="628">
        <v>400000</v>
      </c>
      <c r="M29" s="628">
        <v>0</v>
      </c>
      <c r="N29" s="627">
        <f t="shared" si="3"/>
        <v>160616056</v>
      </c>
      <c r="O29" s="629">
        <f t="shared" si="8"/>
        <v>160616056</v>
      </c>
      <c r="P29" s="630"/>
      <c r="Q29" s="630"/>
    </row>
    <row r="30" spans="1:17" s="28" customFormat="1" ht="31.5" customHeight="1" x14ac:dyDescent="0.3">
      <c r="A30" s="622">
        <v>22</v>
      </c>
      <c r="B30" s="623" t="s">
        <v>95</v>
      </c>
      <c r="C30" s="624">
        <v>3.33</v>
      </c>
      <c r="D30" s="625">
        <f t="shared" si="4"/>
        <v>0</v>
      </c>
      <c r="E30" s="626">
        <v>0</v>
      </c>
      <c r="F30" s="626"/>
      <c r="G30" s="626"/>
      <c r="H30" s="626"/>
      <c r="I30" s="627">
        <f t="shared" si="5"/>
        <v>93506400</v>
      </c>
      <c r="J30" s="627">
        <f t="shared" si="6"/>
        <v>21974004</v>
      </c>
      <c r="K30" s="627">
        <f t="shared" si="7"/>
        <v>115480404</v>
      </c>
      <c r="L30" s="628"/>
      <c r="M30" s="628">
        <v>0</v>
      </c>
      <c r="N30" s="627">
        <f t="shared" si="3"/>
        <v>115480404</v>
      </c>
      <c r="O30" s="629">
        <f t="shared" si="8"/>
        <v>115480404</v>
      </c>
      <c r="P30" s="630"/>
      <c r="Q30" s="630"/>
    </row>
    <row r="31" spans="1:17" s="28" customFormat="1" ht="19.899999999999999" customHeight="1" x14ac:dyDescent="0.3">
      <c r="A31" s="622">
        <v>23</v>
      </c>
      <c r="B31" s="623" t="s">
        <v>96</v>
      </c>
      <c r="C31" s="624">
        <v>3.66</v>
      </c>
      <c r="D31" s="625">
        <f>+E31+F31+G31+H31</f>
        <v>0</v>
      </c>
      <c r="E31" s="626">
        <v>0</v>
      </c>
      <c r="F31" s="626"/>
      <c r="G31" s="626"/>
      <c r="H31" s="626"/>
      <c r="I31" s="627">
        <f t="shared" si="5"/>
        <v>102772800</v>
      </c>
      <c r="J31" s="627">
        <f t="shared" si="6"/>
        <v>24151608</v>
      </c>
      <c r="K31" s="627">
        <f t="shared" si="7"/>
        <v>126924408</v>
      </c>
      <c r="L31" s="628"/>
      <c r="M31" s="628">
        <v>250000</v>
      </c>
      <c r="N31" s="627">
        <f t="shared" si="3"/>
        <v>127174408</v>
      </c>
      <c r="O31" s="629">
        <f t="shared" si="8"/>
        <v>127174408</v>
      </c>
      <c r="P31" s="630"/>
      <c r="Q31" s="630"/>
    </row>
    <row r="32" spans="1:17" s="28" customFormat="1" ht="19.899999999999999" customHeight="1" x14ac:dyDescent="0.3">
      <c r="A32" s="622">
        <v>24</v>
      </c>
      <c r="B32" s="623" t="s">
        <v>97</v>
      </c>
      <c r="C32" s="624">
        <v>3.66</v>
      </c>
      <c r="D32" s="625">
        <f t="shared" si="4"/>
        <v>0.2</v>
      </c>
      <c r="E32" s="626">
        <v>0.2</v>
      </c>
      <c r="F32" s="626"/>
      <c r="G32" s="626"/>
      <c r="H32" s="626"/>
      <c r="I32" s="627">
        <f t="shared" si="5"/>
        <v>108388800</v>
      </c>
      <c r="J32" s="627">
        <f t="shared" si="6"/>
        <v>25471368</v>
      </c>
      <c r="K32" s="627">
        <f t="shared" si="7"/>
        <v>133860168</v>
      </c>
      <c r="L32" s="628">
        <v>300000</v>
      </c>
      <c r="M32" s="628"/>
      <c r="N32" s="627">
        <f t="shared" si="3"/>
        <v>134160168</v>
      </c>
      <c r="O32" s="629">
        <f t="shared" si="8"/>
        <v>134160168</v>
      </c>
      <c r="P32" s="630"/>
      <c r="Q32" s="630"/>
    </row>
    <row r="33" spans="1:18" s="28" customFormat="1" ht="19.899999999999999" customHeight="1" x14ac:dyDescent="0.3">
      <c r="A33" s="622">
        <v>25</v>
      </c>
      <c r="B33" s="623" t="s">
        <v>98</v>
      </c>
      <c r="C33" s="624">
        <v>3</v>
      </c>
      <c r="D33" s="625">
        <f t="shared" si="4"/>
        <v>0</v>
      </c>
      <c r="E33" s="626">
        <v>0</v>
      </c>
      <c r="F33" s="626"/>
      <c r="G33" s="626"/>
      <c r="H33" s="626"/>
      <c r="I33" s="627">
        <f t="shared" si="5"/>
        <v>84240000</v>
      </c>
      <c r="J33" s="627">
        <f t="shared" si="6"/>
        <v>19796400</v>
      </c>
      <c r="K33" s="627">
        <f t="shared" si="7"/>
        <v>104036400</v>
      </c>
      <c r="L33" s="628"/>
      <c r="M33" s="628"/>
      <c r="N33" s="627">
        <f t="shared" si="3"/>
        <v>104036400</v>
      </c>
      <c r="O33" s="629">
        <f t="shared" si="8"/>
        <v>104036400</v>
      </c>
      <c r="P33" s="630"/>
      <c r="Q33" s="630"/>
    </row>
    <row r="34" spans="1:18" s="28" customFormat="1" ht="19.899999999999999" customHeight="1" x14ac:dyDescent="0.3">
      <c r="A34" s="622">
        <v>26</v>
      </c>
      <c r="B34" s="623" t="s">
        <v>99</v>
      </c>
      <c r="C34" s="624">
        <v>3.33</v>
      </c>
      <c r="D34" s="625">
        <f t="shared" si="4"/>
        <v>0</v>
      </c>
      <c r="E34" s="626">
        <v>0</v>
      </c>
      <c r="F34" s="626"/>
      <c r="G34" s="626"/>
      <c r="H34" s="626"/>
      <c r="I34" s="627">
        <f t="shared" si="5"/>
        <v>93506400</v>
      </c>
      <c r="J34" s="627">
        <f t="shared" si="6"/>
        <v>21974004</v>
      </c>
      <c r="K34" s="627">
        <f t="shared" si="7"/>
        <v>115480404</v>
      </c>
      <c r="L34" s="628"/>
      <c r="M34" s="628"/>
      <c r="N34" s="627">
        <f t="shared" si="3"/>
        <v>115480404</v>
      </c>
      <c r="O34" s="629">
        <f t="shared" si="8"/>
        <v>115480404</v>
      </c>
      <c r="P34" s="630"/>
      <c r="Q34" s="630"/>
    </row>
    <row r="35" spans="1:18" s="28" customFormat="1" ht="19.899999999999999" customHeight="1" x14ac:dyDescent="0.3">
      <c r="A35" s="622">
        <v>27</v>
      </c>
      <c r="B35" s="623" t="s">
        <v>100</v>
      </c>
      <c r="C35" s="624">
        <v>3</v>
      </c>
      <c r="D35" s="625">
        <f t="shared" si="4"/>
        <v>0</v>
      </c>
      <c r="E35" s="626">
        <v>0</v>
      </c>
      <c r="F35" s="626"/>
      <c r="G35" s="626"/>
      <c r="H35" s="626"/>
      <c r="I35" s="627">
        <f t="shared" si="5"/>
        <v>84240000</v>
      </c>
      <c r="J35" s="627">
        <f t="shared" si="6"/>
        <v>19796400</v>
      </c>
      <c r="K35" s="627">
        <f t="shared" si="7"/>
        <v>104036400</v>
      </c>
      <c r="L35" s="628"/>
      <c r="M35" s="628"/>
      <c r="N35" s="627">
        <f t="shared" si="3"/>
        <v>104036400</v>
      </c>
      <c r="O35" s="629">
        <f t="shared" si="8"/>
        <v>104036400</v>
      </c>
      <c r="P35" s="630"/>
      <c r="Q35" s="630"/>
    </row>
    <row r="36" spans="1:18" s="28" customFormat="1" ht="30.75" customHeight="1" x14ac:dyDescent="0.3">
      <c r="A36" s="622">
        <v>28</v>
      </c>
      <c r="B36" s="623" t="s">
        <v>101</v>
      </c>
      <c r="C36" s="624">
        <v>2.67</v>
      </c>
      <c r="D36" s="625">
        <f t="shared" si="4"/>
        <v>0</v>
      </c>
      <c r="E36" s="626">
        <v>0</v>
      </c>
      <c r="F36" s="626"/>
      <c r="G36" s="626"/>
      <c r="H36" s="626"/>
      <c r="I36" s="627">
        <f t="shared" si="5"/>
        <v>74973600</v>
      </c>
      <c r="J36" s="627">
        <f t="shared" si="6"/>
        <v>17618796</v>
      </c>
      <c r="K36" s="627">
        <f t="shared" si="7"/>
        <v>92592396</v>
      </c>
      <c r="L36" s="628"/>
      <c r="M36" s="628"/>
      <c r="N36" s="627">
        <f t="shared" si="3"/>
        <v>92592396</v>
      </c>
      <c r="O36" s="629">
        <f t="shared" si="8"/>
        <v>92592396</v>
      </c>
      <c r="P36" s="630"/>
      <c r="Q36" s="630"/>
    </row>
    <row r="37" spans="1:18" s="28" customFormat="1" ht="19.899999999999999" customHeight="1" x14ac:dyDescent="0.3">
      <c r="A37" s="622">
        <v>29</v>
      </c>
      <c r="B37" s="623" t="s">
        <v>102</v>
      </c>
      <c r="C37" s="624">
        <v>3</v>
      </c>
      <c r="D37" s="625">
        <f t="shared" si="4"/>
        <v>0</v>
      </c>
      <c r="E37" s="626">
        <v>0</v>
      </c>
      <c r="F37" s="626"/>
      <c r="G37" s="626"/>
      <c r="H37" s="626"/>
      <c r="I37" s="627">
        <f t="shared" si="5"/>
        <v>84240000</v>
      </c>
      <c r="J37" s="627">
        <f t="shared" si="6"/>
        <v>19796400</v>
      </c>
      <c r="K37" s="627">
        <f t="shared" si="7"/>
        <v>104036400</v>
      </c>
      <c r="L37" s="628"/>
      <c r="M37" s="628"/>
      <c r="N37" s="627">
        <f t="shared" si="3"/>
        <v>104036400</v>
      </c>
      <c r="O37" s="629">
        <f t="shared" si="8"/>
        <v>104036400</v>
      </c>
      <c r="P37" s="630"/>
      <c r="Q37" s="630"/>
    </row>
    <row r="38" spans="1:18" s="28" customFormat="1" ht="19.899999999999999" customHeight="1" x14ac:dyDescent="0.3">
      <c r="A38" s="622">
        <v>30</v>
      </c>
      <c r="B38" s="623" t="s">
        <v>103</v>
      </c>
      <c r="C38" s="624">
        <v>4.6500000000000004</v>
      </c>
      <c r="D38" s="625">
        <f t="shared" si="4"/>
        <v>0.3</v>
      </c>
      <c r="E38" s="626">
        <v>0.3</v>
      </c>
      <c r="F38" s="626"/>
      <c r="G38" s="626"/>
      <c r="H38" s="626"/>
      <c r="I38" s="627">
        <f t="shared" si="5"/>
        <v>138996000</v>
      </c>
      <c r="J38" s="627">
        <f t="shared" si="6"/>
        <v>32664060</v>
      </c>
      <c r="K38" s="627">
        <f t="shared" si="7"/>
        <v>171660060</v>
      </c>
      <c r="L38" s="628">
        <v>400000</v>
      </c>
      <c r="M38" s="628"/>
      <c r="N38" s="627">
        <f t="shared" si="3"/>
        <v>172060060</v>
      </c>
      <c r="O38" s="629">
        <f t="shared" si="8"/>
        <v>172060060</v>
      </c>
      <c r="P38" s="630"/>
      <c r="Q38" s="630"/>
    </row>
    <row r="39" spans="1:18" s="28" customFormat="1" ht="19.899999999999999" customHeight="1" x14ac:dyDescent="0.3">
      <c r="A39" s="622">
        <v>31</v>
      </c>
      <c r="B39" s="623" t="s">
        <v>104</v>
      </c>
      <c r="C39" s="624">
        <v>3.99</v>
      </c>
      <c r="D39" s="625">
        <f t="shared" si="4"/>
        <v>0.3</v>
      </c>
      <c r="E39" s="626">
        <v>0.3</v>
      </c>
      <c r="F39" s="626"/>
      <c r="G39" s="626"/>
      <c r="H39" s="626"/>
      <c r="I39" s="627">
        <f t="shared" si="5"/>
        <v>120463200</v>
      </c>
      <c r="J39" s="627">
        <f t="shared" si="6"/>
        <v>28308852</v>
      </c>
      <c r="K39" s="627">
        <f t="shared" si="7"/>
        <v>148772052</v>
      </c>
      <c r="L39" s="628">
        <v>300000</v>
      </c>
      <c r="M39" s="628"/>
      <c r="N39" s="627">
        <f t="shared" si="3"/>
        <v>149072052</v>
      </c>
      <c r="O39" s="629">
        <f t="shared" si="8"/>
        <v>149072052</v>
      </c>
      <c r="P39" s="630"/>
      <c r="Q39" s="630"/>
    </row>
    <row r="40" spans="1:18" s="28" customFormat="1" ht="19.899999999999999" customHeight="1" x14ac:dyDescent="0.3">
      <c r="A40" s="622">
        <v>32</v>
      </c>
      <c r="B40" s="623" t="s">
        <v>105</v>
      </c>
      <c r="C40" s="624">
        <v>4.32</v>
      </c>
      <c r="D40" s="625">
        <f>+E40+F40+G40+H40</f>
        <v>0.3</v>
      </c>
      <c r="E40" s="626">
        <v>0.3</v>
      </c>
      <c r="F40" s="626"/>
      <c r="G40" s="626"/>
      <c r="H40" s="626"/>
      <c r="I40" s="627">
        <f t="shared" si="5"/>
        <v>129729600</v>
      </c>
      <c r="J40" s="627">
        <f t="shared" si="6"/>
        <v>30486456</v>
      </c>
      <c r="K40" s="627">
        <f t="shared" si="7"/>
        <v>160216056</v>
      </c>
      <c r="L40" s="628">
        <v>400000</v>
      </c>
      <c r="M40" s="628"/>
      <c r="N40" s="627">
        <f t="shared" si="3"/>
        <v>160616056</v>
      </c>
      <c r="O40" s="629">
        <f t="shared" si="8"/>
        <v>160616056</v>
      </c>
      <c r="P40" s="630"/>
      <c r="Q40" s="630"/>
    </row>
    <row r="41" spans="1:18" s="28" customFormat="1" ht="35.25" customHeight="1" x14ac:dyDescent="0.3">
      <c r="A41" s="622">
        <v>33</v>
      </c>
      <c r="B41" s="623" t="s">
        <v>106</v>
      </c>
      <c r="C41" s="624">
        <v>3.99</v>
      </c>
      <c r="D41" s="625">
        <f t="shared" si="4"/>
        <v>0</v>
      </c>
      <c r="E41" s="626">
        <v>0</v>
      </c>
      <c r="F41" s="626"/>
      <c r="G41" s="626"/>
      <c r="H41" s="626"/>
      <c r="I41" s="627">
        <f t="shared" si="5"/>
        <v>112039200</v>
      </c>
      <c r="J41" s="627">
        <f t="shared" si="6"/>
        <v>26329212</v>
      </c>
      <c r="K41" s="627">
        <f t="shared" si="7"/>
        <v>138368412</v>
      </c>
      <c r="L41" s="628"/>
      <c r="M41" s="628"/>
      <c r="N41" s="627">
        <f t="shared" ref="N41:N60" si="9">SUM(K41:M41)</f>
        <v>138368412</v>
      </c>
      <c r="O41" s="629">
        <f t="shared" si="8"/>
        <v>138368412</v>
      </c>
      <c r="P41" s="630"/>
      <c r="Q41" s="630"/>
    </row>
    <row r="42" spans="1:18" s="28" customFormat="1" ht="19.899999999999999" customHeight="1" x14ac:dyDescent="0.3">
      <c r="A42" s="622">
        <v>34</v>
      </c>
      <c r="B42" s="623" t="s">
        <v>107</v>
      </c>
      <c r="C42" s="624">
        <v>3.66</v>
      </c>
      <c r="D42" s="625">
        <f t="shared" si="4"/>
        <v>0</v>
      </c>
      <c r="E42" s="626">
        <v>0</v>
      </c>
      <c r="F42" s="626"/>
      <c r="G42" s="626"/>
      <c r="H42" s="626"/>
      <c r="I42" s="627">
        <f t="shared" si="5"/>
        <v>102772800</v>
      </c>
      <c r="J42" s="627">
        <f t="shared" si="6"/>
        <v>24151608</v>
      </c>
      <c r="K42" s="627">
        <f t="shared" si="7"/>
        <v>126924408</v>
      </c>
      <c r="L42" s="628"/>
      <c r="M42" s="628"/>
      <c r="N42" s="627">
        <f t="shared" si="9"/>
        <v>126924408</v>
      </c>
      <c r="O42" s="629">
        <f t="shared" si="8"/>
        <v>126924408</v>
      </c>
      <c r="P42" s="630"/>
      <c r="Q42" s="630"/>
    </row>
    <row r="43" spans="1:18" s="28" customFormat="1" ht="19.899999999999999" customHeight="1" x14ac:dyDescent="0.3">
      <c r="A43" s="622">
        <v>35</v>
      </c>
      <c r="B43" s="623" t="s">
        <v>108</v>
      </c>
      <c r="C43" s="624">
        <v>3.99</v>
      </c>
      <c r="D43" s="625">
        <f t="shared" si="4"/>
        <v>0.3</v>
      </c>
      <c r="E43" s="626">
        <v>0.3</v>
      </c>
      <c r="F43" s="626"/>
      <c r="G43" s="626"/>
      <c r="H43" s="626"/>
      <c r="I43" s="627">
        <f t="shared" si="5"/>
        <v>120463200</v>
      </c>
      <c r="J43" s="627">
        <f t="shared" si="6"/>
        <v>28308852</v>
      </c>
      <c r="K43" s="627">
        <f t="shared" si="7"/>
        <v>148772052</v>
      </c>
      <c r="L43" s="628">
        <v>400000</v>
      </c>
      <c r="M43" s="628"/>
      <c r="N43" s="627">
        <f t="shared" si="9"/>
        <v>149172052</v>
      </c>
      <c r="O43" s="629">
        <f t="shared" si="8"/>
        <v>149172052</v>
      </c>
      <c r="P43" s="630"/>
      <c r="Q43" s="630"/>
    </row>
    <row r="44" spans="1:18" s="28" customFormat="1" ht="19.899999999999999" customHeight="1" x14ac:dyDescent="0.3">
      <c r="A44" s="622">
        <v>36</v>
      </c>
      <c r="B44" s="623" t="s">
        <v>109</v>
      </c>
      <c r="C44" s="624">
        <v>3.66</v>
      </c>
      <c r="D44" s="625">
        <f t="shared" si="4"/>
        <v>0.2</v>
      </c>
      <c r="E44" s="626">
        <v>0.2</v>
      </c>
      <c r="F44" s="626"/>
      <c r="G44" s="626"/>
      <c r="H44" s="626"/>
      <c r="I44" s="627">
        <f t="shared" si="5"/>
        <v>108388800</v>
      </c>
      <c r="J44" s="627">
        <f t="shared" si="6"/>
        <v>25471368</v>
      </c>
      <c r="K44" s="627">
        <f t="shared" si="7"/>
        <v>133860168</v>
      </c>
      <c r="L44" s="628">
        <v>300000</v>
      </c>
      <c r="M44" s="628"/>
      <c r="N44" s="627">
        <f t="shared" si="9"/>
        <v>134160168</v>
      </c>
      <c r="O44" s="629">
        <f t="shared" si="8"/>
        <v>134160168</v>
      </c>
      <c r="P44" s="630"/>
      <c r="Q44" s="630"/>
    </row>
    <row r="45" spans="1:18" s="28" customFormat="1" ht="19.899999999999999" customHeight="1" x14ac:dyDescent="0.3">
      <c r="A45" s="622">
        <v>37</v>
      </c>
      <c r="B45" s="623" t="s">
        <v>110</v>
      </c>
      <c r="C45" s="624">
        <v>3.66</v>
      </c>
      <c r="D45" s="625">
        <f t="shared" si="4"/>
        <v>0</v>
      </c>
      <c r="E45" s="626">
        <v>0</v>
      </c>
      <c r="F45" s="626"/>
      <c r="G45" s="626"/>
      <c r="H45" s="626"/>
      <c r="I45" s="627">
        <f t="shared" si="5"/>
        <v>102772800</v>
      </c>
      <c r="J45" s="627">
        <f t="shared" si="6"/>
        <v>24151608</v>
      </c>
      <c r="K45" s="627">
        <f t="shared" si="7"/>
        <v>126924408</v>
      </c>
      <c r="L45" s="628"/>
      <c r="M45" s="628"/>
      <c r="N45" s="627">
        <f t="shared" si="9"/>
        <v>126924408</v>
      </c>
      <c r="O45" s="629">
        <f t="shared" si="8"/>
        <v>126924408</v>
      </c>
      <c r="P45" s="630"/>
      <c r="Q45" s="630"/>
    </row>
    <row r="46" spans="1:18" s="28" customFormat="1" ht="19.899999999999999" customHeight="1" x14ac:dyDescent="0.3">
      <c r="A46" s="622">
        <v>38</v>
      </c>
      <c r="B46" s="623" t="s">
        <v>997</v>
      </c>
      <c r="C46" s="624">
        <v>3</v>
      </c>
      <c r="D46" s="625">
        <f t="shared" si="4"/>
        <v>0</v>
      </c>
      <c r="E46" s="626"/>
      <c r="F46" s="626"/>
      <c r="G46" s="626"/>
      <c r="H46" s="626"/>
      <c r="I46" s="627">
        <f t="shared" si="5"/>
        <v>84240000</v>
      </c>
      <c r="J46" s="627">
        <f t="shared" si="6"/>
        <v>19796400</v>
      </c>
      <c r="K46" s="627">
        <f>J46+I46</f>
        <v>104036400</v>
      </c>
      <c r="L46" s="628"/>
      <c r="M46" s="628"/>
      <c r="N46" s="627">
        <f t="shared" si="9"/>
        <v>104036400</v>
      </c>
      <c r="O46" s="629">
        <f t="shared" si="8"/>
        <v>104036400</v>
      </c>
      <c r="P46" s="630"/>
      <c r="Q46" s="630"/>
      <c r="R46" s="651"/>
    </row>
    <row r="47" spans="1:18" s="28" customFormat="1" ht="19.899999999999999" customHeight="1" x14ac:dyDescent="0.3">
      <c r="A47" s="622">
        <v>39</v>
      </c>
      <c r="B47" s="623" t="s">
        <v>111</v>
      </c>
      <c r="C47" s="624">
        <v>4.32</v>
      </c>
      <c r="D47" s="625">
        <f>SUM(E47:H47)</f>
        <v>0.4</v>
      </c>
      <c r="E47" s="626">
        <v>0.4</v>
      </c>
      <c r="F47" s="626"/>
      <c r="G47" s="626"/>
      <c r="H47" s="626"/>
      <c r="I47" s="627">
        <f t="shared" si="5"/>
        <v>132537600.00000003</v>
      </c>
      <c r="J47" s="627">
        <f t="shared" si="6"/>
        <v>31146336.000000007</v>
      </c>
      <c r="K47" s="627">
        <f t="shared" ref="K47:K110" si="10">J47+I47</f>
        <v>163683936.00000003</v>
      </c>
      <c r="L47" s="628">
        <v>450000</v>
      </c>
      <c r="M47" s="628"/>
      <c r="N47" s="627">
        <f t="shared" si="9"/>
        <v>164133936.00000003</v>
      </c>
      <c r="O47" s="629">
        <f>(C47+D47)*2340000*5</f>
        <v>55224000.000000007</v>
      </c>
      <c r="P47" s="629">
        <f>N47-O47</f>
        <v>108909936.00000003</v>
      </c>
      <c r="Q47" s="630"/>
      <c r="R47" s="651"/>
    </row>
    <row r="48" spans="1:18" s="28" customFormat="1" ht="19.899999999999999" customHeight="1" x14ac:dyDescent="0.3">
      <c r="A48" s="622">
        <v>40</v>
      </c>
      <c r="B48" s="623" t="s">
        <v>112</v>
      </c>
      <c r="C48" s="624">
        <v>3.99</v>
      </c>
      <c r="D48" s="625">
        <f>SUM(E48:H48)</f>
        <v>0.3</v>
      </c>
      <c r="E48" s="626">
        <v>0.3</v>
      </c>
      <c r="F48" s="626"/>
      <c r="G48" s="626"/>
      <c r="H48" s="626"/>
      <c r="I48" s="627">
        <f t="shared" si="5"/>
        <v>120463200</v>
      </c>
      <c r="J48" s="627">
        <f t="shared" si="6"/>
        <v>28308852</v>
      </c>
      <c r="K48" s="627">
        <f t="shared" si="10"/>
        <v>148772052</v>
      </c>
      <c r="L48" s="628">
        <v>400000</v>
      </c>
      <c r="M48" s="628"/>
      <c r="N48" s="627">
        <f t="shared" si="9"/>
        <v>149172052</v>
      </c>
      <c r="O48" s="629">
        <f t="shared" ref="O48:O58" si="11">(C48+D48)*2340000*5</f>
        <v>50193000</v>
      </c>
      <c r="P48" s="629">
        <f t="shared" ref="P48:P58" si="12">N48-O48</f>
        <v>98979052</v>
      </c>
      <c r="Q48" s="630"/>
      <c r="R48" s="651"/>
    </row>
    <row r="49" spans="1:17" s="28" customFormat="1" ht="19.899999999999999" customHeight="1" x14ac:dyDescent="0.3">
      <c r="A49" s="622">
        <v>41</v>
      </c>
      <c r="B49" s="623" t="s">
        <v>113</v>
      </c>
      <c r="C49" s="624">
        <v>3.66</v>
      </c>
      <c r="D49" s="625">
        <f>E49+F49+G49+M49+H49</f>
        <v>0</v>
      </c>
      <c r="E49" s="626">
        <v>0</v>
      </c>
      <c r="F49" s="626"/>
      <c r="G49" s="626"/>
      <c r="H49" s="626"/>
      <c r="I49" s="627">
        <f t="shared" si="5"/>
        <v>102772800</v>
      </c>
      <c r="J49" s="627">
        <f t="shared" si="6"/>
        <v>24151608</v>
      </c>
      <c r="K49" s="627">
        <f t="shared" si="10"/>
        <v>126924408</v>
      </c>
      <c r="L49" s="628">
        <v>400000</v>
      </c>
      <c r="M49" s="628">
        <v>0</v>
      </c>
      <c r="N49" s="627">
        <f t="shared" si="9"/>
        <v>127324408</v>
      </c>
      <c r="O49" s="629">
        <f t="shared" si="11"/>
        <v>42822000</v>
      </c>
      <c r="P49" s="629">
        <f t="shared" si="12"/>
        <v>84502408</v>
      </c>
      <c r="Q49" s="630"/>
    </row>
    <row r="50" spans="1:17" s="28" customFormat="1" ht="19.899999999999999" customHeight="1" x14ac:dyDescent="0.3">
      <c r="A50" s="622">
        <v>42</v>
      </c>
      <c r="B50" s="623" t="s">
        <v>114</v>
      </c>
      <c r="C50" s="624">
        <v>3</v>
      </c>
      <c r="D50" s="625"/>
      <c r="E50" s="626"/>
      <c r="F50" s="626"/>
      <c r="G50" s="626"/>
      <c r="H50" s="626"/>
      <c r="I50" s="627">
        <f t="shared" si="5"/>
        <v>84240000</v>
      </c>
      <c r="J50" s="627">
        <f t="shared" si="6"/>
        <v>19796400</v>
      </c>
      <c r="K50" s="627">
        <f t="shared" si="10"/>
        <v>104036400</v>
      </c>
      <c r="L50" s="628"/>
      <c r="M50" s="628">
        <v>250000</v>
      </c>
      <c r="N50" s="627">
        <f t="shared" si="9"/>
        <v>104286400</v>
      </c>
      <c r="O50" s="629">
        <f t="shared" si="11"/>
        <v>35100000</v>
      </c>
      <c r="P50" s="629">
        <f t="shared" si="12"/>
        <v>69186400</v>
      </c>
      <c r="Q50" s="630"/>
    </row>
    <row r="51" spans="1:17" s="28" customFormat="1" ht="19.899999999999999" customHeight="1" x14ac:dyDescent="0.3">
      <c r="A51" s="622">
        <v>43</v>
      </c>
      <c r="B51" s="623" t="s">
        <v>115</v>
      </c>
      <c r="C51" s="624">
        <v>3.33</v>
      </c>
      <c r="D51" s="625"/>
      <c r="E51" s="626">
        <v>0</v>
      </c>
      <c r="F51" s="626"/>
      <c r="G51" s="626"/>
      <c r="H51" s="626"/>
      <c r="I51" s="627">
        <f t="shared" si="5"/>
        <v>93506400</v>
      </c>
      <c r="J51" s="627">
        <f t="shared" si="6"/>
        <v>21974004</v>
      </c>
      <c r="K51" s="627">
        <f t="shared" si="10"/>
        <v>115480404</v>
      </c>
      <c r="L51" s="628"/>
      <c r="M51" s="628">
        <v>250000</v>
      </c>
      <c r="N51" s="627">
        <f t="shared" si="9"/>
        <v>115730404</v>
      </c>
      <c r="O51" s="629">
        <f>(C51+D51)*2340000*5+8453221</f>
        <v>47414221</v>
      </c>
      <c r="P51" s="629">
        <f t="shared" si="12"/>
        <v>68316183</v>
      </c>
      <c r="Q51" s="630"/>
    </row>
    <row r="52" spans="1:17" s="28" customFormat="1" ht="19.899999999999999" customHeight="1" x14ac:dyDescent="0.3">
      <c r="A52" s="622">
        <v>44</v>
      </c>
      <c r="B52" s="623" t="s">
        <v>116</v>
      </c>
      <c r="C52" s="624">
        <v>3.66</v>
      </c>
      <c r="D52" s="625"/>
      <c r="E52" s="626">
        <v>0</v>
      </c>
      <c r="F52" s="626"/>
      <c r="G52" s="626"/>
      <c r="H52" s="626"/>
      <c r="I52" s="627">
        <f t="shared" si="5"/>
        <v>102772800</v>
      </c>
      <c r="J52" s="627">
        <f t="shared" si="6"/>
        <v>24151608</v>
      </c>
      <c r="K52" s="627">
        <f t="shared" si="10"/>
        <v>126924408</v>
      </c>
      <c r="L52" s="628"/>
      <c r="M52" s="628">
        <v>250000</v>
      </c>
      <c r="N52" s="627">
        <f t="shared" si="9"/>
        <v>127174408</v>
      </c>
      <c r="O52" s="629">
        <f>(C52+D52)*2340000*5</f>
        <v>42822000</v>
      </c>
      <c r="P52" s="629">
        <f t="shared" si="12"/>
        <v>84352408</v>
      </c>
      <c r="Q52" s="630"/>
    </row>
    <row r="53" spans="1:17" s="28" customFormat="1" ht="19.899999999999999" customHeight="1" x14ac:dyDescent="0.3">
      <c r="A53" s="622">
        <v>45</v>
      </c>
      <c r="B53" s="623" t="s">
        <v>117</v>
      </c>
      <c r="C53" s="624">
        <v>3.99</v>
      </c>
      <c r="D53" s="625"/>
      <c r="E53" s="626">
        <v>0</v>
      </c>
      <c r="F53" s="626"/>
      <c r="G53" s="626"/>
      <c r="H53" s="626"/>
      <c r="I53" s="627">
        <f t="shared" si="5"/>
        <v>112039200</v>
      </c>
      <c r="J53" s="627">
        <f t="shared" si="6"/>
        <v>26329212</v>
      </c>
      <c r="K53" s="627">
        <f t="shared" si="10"/>
        <v>138368412</v>
      </c>
      <c r="L53" s="628"/>
      <c r="M53" s="628">
        <v>250000</v>
      </c>
      <c r="N53" s="627">
        <f t="shared" si="9"/>
        <v>138618412</v>
      </c>
      <c r="O53" s="629">
        <f t="shared" si="11"/>
        <v>46683000</v>
      </c>
      <c r="P53" s="629">
        <f t="shared" si="12"/>
        <v>91935412</v>
      </c>
      <c r="Q53" s="630"/>
    </row>
    <row r="54" spans="1:17" s="28" customFormat="1" ht="19.899999999999999" customHeight="1" x14ac:dyDescent="0.3">
      <c r="A54" s="622">
        <v>46</v>
      </c>
      <c r="B54" s="623" t="s">
        <v>118</v>
      </c>
      <c r="C54" s="624">
        <v>3.99</v>
      </c>
      <c r="D54" s="625"/>
      <c r="E54" s="626">
        <v>0</v>
      </c>
      <c r="F54" s="626"/>
      <c r="G54" s="626"/>
      <c r="H54" s="626"/>
      <c r="I54" s="627">
        <f t="shared" si="5"/>
        <v>112039200</v>
      </c>
      <c r="J54" s="627">
        <f t="shared" si="6"/>
        <v>26329212</v>
      </c>
      <c r="K54" s="627">
        <f t="shared" si="10"/>
        <v>138368412</v>
      </c>
      <c r="L54" s="628"/>
      <c r="M54" s="628">
        <v>250000</v>
      </c>
      <c r="N54" s="627">
        <f t="shared" si="9"/>
        <v>138618412</v>
      </c>
      <c r="O54" s="629">
        <f t="shared" si="11"/>
        <v>46683000</v>
      </c>
      <c r="P54" s="629">
        <f t="shared" si="12"/>
        <v>91935412</v>
      </c>
      <c r="Q54" s="630"/>
    </row>
    <row r="55" spans="1:17" s="28" customFormat="1" ht="19.899999999999999" customHeight="1" x14ac:dyDescent="0.3">
      <c r="A55" s="622">
        <v>47</v>
      </c>
      <c r="B55" s="623" t="s">
        <v>119</v>
      </c>
      <c r="C55" s="624">
        <v>3.66</v>
      </c>
      <c r="D55" s="625"/>
      <c r="E55" s="626"/>
      <c r="F55" s="626"/>
      <c r="G55" s="626"/>
      <c r="H55" s="626"/>
      <c r="I55" s="627">
        <f t="shared" si="5"/>
        <v>102772800</v>
      </c>
      <c r="J55" s="627">
        <f t="shared" si="6"/>
        <v>24151608</v>
      </c>
      <c r="K55" s="627">
        <f t="shared" si="10"/>
        <v>126924408</v>
      </c>
      <c r="L55" s="628"/>
      <c r="M55" s="628">
        <v>250000</v>
      </c>
      <c r="N55" s="627">
        <f t="shared" si="9"/>
        <v>127174408</v>
      </c>
      <c r="O55" s="629">
        <f t="shared" si="11"/>
        <v>42822000</v>
      </c>
      <c r="P55" s="629">
        <f t="shared" si="12"/>
        <v>84352408</v>
      </c>
      <c r="Q55" s="630"/>
    </row>
    <row r="56" spans="1:17" s="28" customFormat="1" ht="19.899999999999999" customHeight="1" x14ac:dyDescent="0.3">
      <c r="A56" s="622">
        <v>48</v>
      </c>
      <c r="B56" s="623" t="s">
        <v>120</v>
      </c>
      <c r="C56" s="624">
        <v>3.34</v>
      </c>
      <c r="D56" s="625"/>
      <c r="E56" s="626">
        <v>0</v>
      </c>
      <c r="F56" s="626"/>
      <c r="G56" s="626"/>
      <c r="H56" s="626"/>
      <c r="I56" s="627">
        <f t="shared" si="5"/>
        <v>93787200</v>
      </c>
      <c r="J56" s="627">
        <f t="shared" si="6"/>
        <v>22039992</v>
      </c>
      <c r="K56" s="627">
        <f t="shared" si="10"/>
        <v>115827192</v>
      </c>
      <c r="L56" s="628"/>
      <c r="M56" s="628">
        <v>250000</v>
      </c>
      <c r="N56" s="627">
        <f t="shared" si="9"/>
        <v>116077192</v>
      </c>
      <c r="O56" s="629">
        <f t="shared" si="11"/>
        <v>39078000</v>
      </c>
      <c r="P56" s="629">
        <f t="shared" si="12"/>
        <v>76999192</v>
      </c>
      <c r="Q56" s="630"/>
    </row>
    <row r="57" spans="1:17" s="28" customFormat="1" ht="30.75" customHeight="1" x14ac:dyDescent="0.3">
      <c r="A57" s="622">
        <v>49</v>
      </c>
      <c r="B57" s="623" t="s">
        <v>121</v>
      </c>
      <c r="C57" s="624">
        <v>4.32</v>
      </c>
      <c r="D57" s="625"/>
      <c r="E57" s="626">
        <v>0</v>
      </c>
      <c r="F57" s="626"/>
      <c r="G57" s="626"/>
      <c r="H57" s="626"/>
      <c r="I57" s="627">
        <f t="shared" si="5"/>
        <v>121305600</v>
      </c>
      <c r="J57" s="627">
        <f t="shared" si="6"/>
        <v>28506816</v>
      </c>
      <c r="K57" s="627">
        <f t="shared" si="10"/>
        <v>149812416</v>
      </c>
      <c r="L57" s="628"/>
      <c r="M57" s="628">
        <v>250000</v>
      </c>
      <c r="N57" s="627">
        <f t="shared" si="9"/>
        <v>150062416</v>
      </c>
      <c r="O57" s="629">
        <f>(C57+D57)*2340000*5</f>
        <v>50544000</v>
      </c>
      <c r="P57" s="629">
        <f t="shared" si="12"/>
        <v>99518416</v>
      </c>
      <c r="Q57" s="630"/>
    </row>
    <row r="58" spans="1:17" s="28" customFormat="1" ht="19.899999999999999" customHeight="1" x14ac:dyDescent="0.3">
      <c r="A58" s="622">
        <v>50</v>
      </c>
      <c r="B58" s="623" t="s">
        <v>122</v>
      </c>
      <c r="C58" s="624">
        <v>4.32</v>
      </c>
      <c r="D58" s="625"/>
      <c r="E58" s="626">
        <v>0</v>
      </c>
      <c r="F58" s="626"/>
      <c r="G58" s="626"/>
      <c r="H58" s="626"/>
      <c r="I58" s="627">
        <f t="shared" si="5"/>
        <v>121305600</v>
      </c>
      <c r="J58" s="627">
        <f t="shared" si="6"/>
        <v>28506816</v>
      </c>
      <c r="K58" s="627">
        <f t="shared" si="10"/>
        <v>149812416</v>
      </c>
      <c r="L58" s="628"/>
      <c r="M58" s="628">
        <v>250000</v>
      </c>
      <c r="N58" s="627">
        <f t="shared" si="9"/>
        <v>150062416</v>
      </c>
      <c r="O58" s="629">
        <f t="shared" si="11"/>
        <v>50544000</v>
      </c>
      <c r="P58" s="629">
        <f t="shared" si="12"/>
        <v>99518416</v>
      </c>
      <c r="Q58" s="630"/>
    </row>
    <row r="59" spans="1:17" s="28" customFormat="1" ht="19.899999999999999" customHeight="1" x14ac:dyDescent="0.3">
      <c r="A59" s="622">
        <v>51</v>
      </c>
      <c r="B59" s="623" t="s">
        <v>123</v>
      </c>
      <c r="C59" s="624">
        <v>3.99</v>
      </c>
      <c r="D59" s="625">
        <f>E59+F59+G59+M59+H59</f>
        <v>0.3</v>
      </c>
      <c r="E59" s="626">
        <v>0.3</v>
      </c>
      <c r="F59" s="626"/>
      <c r="G59" s="626"/>
      <c r="H59" s="626"/>
      <c r="I59" s="627">
        <f t="shared" si="5"/>
        <v>120463200</v>
      </c>
      <c r="J59" s="627">
        <f t="shared" si="6"/>
        <v>28308852</v>
      </c>
      <c r="K59" s="627">
        <f t="shared" si="10"/>
        <v>148772052</v>
      </c>
      <c r="L59" s="628">
        <v>400000</v>
      </c>
      <c r="M59" s="628">
        <v>0</v>
      </c>
      <c r="N59" s="627">
        <f t="shared" si="9"/>
        <v>149172052</v>
      </c>
      <c r="O59" s="629">
        <f>N59</f>
        <v>149172052</v>
      </c>
      <c r="P59" s="630"/>
      <c r="Q59" s="630"/>
    </row>
    <row r="60" spans="1:17" s="28" customFormat="1" ht="19.899999999999999" customHeight="1" x14ac:dyDescent="0.3">
      <c r="A60" s="622">
        <v>52</v>
      </c>
      <c r="B60" s="623" t="s">
        <v>124</v>
      </c>
      <c r="C60" s="624">
        <v>4.32</v>
      </c>
      <c r="D60" s="625">
        <f>E60+F60+G60+M60+H60</f>
        <v>0.2</v>
      </c>
      <c r="E60" s="626">
        <v>0.2</v>
      </c>
      <c r="F60" s="626"/>
      <c r="G60" s="626"/>
      <c r="H60" s="626"/>
      <c r="I60" s="627">
        <f t="shared" si="5"/>
        <v>126921600.00000003</v>
      </c>
      <c r="J60" s="627">
        <f t="shared" si="6"/>
        <v>29826576.000000007</v>
      </c>
      <c r="K60" s="627">
        <f t="shared" si="10"/>
        <v>156748176.00000003</v>
      </c>
      <c r="L60" s="628">
        <v>300000</v>
      </c>
      <c r="M60" s="628">
        <v>0</v>
      </c>
      <c r="N60" s="627">
        <f t="shared" si="9"/>
        <v>157048176.00000003</v>
      </c>
      <c r="O60" s="629">
        <f>N60</f>
        <v>157048176.00000003</v>
      </c>
      <c r="P60" s="630"/>
      <c r="Q60" s="630"/>
    </row>
    <row r="61" spans="1:17" s="27" customFormat="1" ht="48.6" customHeight="1" x14ac:dyDescent="0.3">
      <c r="A61" s="617" t="s">
        <v>303</v>
      </c>
      <c r="B61" s="618" t="s">
        <v>125</v>
      </c>
      <c r="C61" s="621">
        <f t="shared" ref="C61:L61" si="13">SUBTOTAL(9,C62:C117)</f>
        <v>369485000</v>
      </c>
      <c r="D61" s="621">
        <f t="shared" si="13"/>
        <v>0</v>
      </c>
      <c r="E61" s="621">
        <f t="shared" si="13"/>
        <v>0</v>
      </c>
      <c r="F61" s="621">
        <f t="shared" si="13"/>
        <v>0</v>
      </c>
      <c r="G61" s="621">
        <f t="shared" si="13"/>
        <v>0</v>
      </c>
      <c r="H61" s="621">
        <f t="shared" si="13"/>
        <v>0</v>
      </c>
      <c r="I61" s="621">
        <f t="shared" si="13"/>
        <v>4433820000</v>
      </c>
      <c r="J61" s="621">
        <f t="shared" si="13"/>
        <v>1041947700</v>
      </c>
      <c r="K61" s="621">
        <f t="shared" si="13"/>
        <v>5475767700</v>
      </c>
      <c r="L61" s="621">
        <f t="shared" si="13"/>
        <v>0</v>
      </c>
      <c r="M61" s="634">
        <f>SUBTOTAL(9,M62:M117)</f>
        <v>4050000</v>
      </c>
      <c r="N61" s="634">
        <f>SUBTOTAL(9,N62:N117)</f>
        <v>5479817700</v>
      </c>
      <c r="O61" s="635">
        <f>SUM(O62:O117)</f>
        <v>1895996700</v>
      </c>
      <c r="P61" s="635">
        <f t="shared" ref="P61:Q61" si="14">SUM(P62:P117)</f>
        <v>2128348800</v>
      </c>
      <c r="Q61" s="635">
        <f t="shared" si="14"/>
        <v>1455472200</v>
      </c>
    </row>
    <row r="62" spans="1:17" s="28" customFormat="1" ht="19.899999999999999" customHeight="1" x14ac:dyDescent="0.3">
      <c r="A62" s="622">
        <v>1</v>
      </c>
      <c r="B62" s="623" t="s">
        <v>126</v>
      </c>
      <c r="C62" s="636">
        <v>7200000</v>
      </c>
      <c r="D62" s="636"/>
      <c r="E62" s="628"/>
      <c r="F62" s="628"/>
      <c r="G62" s="628"/>
      <c r="H62" s="628"/>
      <c r="I62" s="627">
        <f>C62*12</f>
        <v>86400000</v>
      </c>
      <c r="J62" s="627">
        <f>I62*23.5%</f>
        <v>20304000</v>
      </c>
      <c r="K62" s="627">
        <f t="shared" si="10"/>
        <v>106704000</v>
      </c>
      <c r="L62" s="628"/>
      <c r="M62" s="628"/>
      <c r="N62" s="627">
        <f t="shared" ref="N62:N93" si="15">SUM(K62:M62)</f>
        <v>106704000</v>
      </c>
      <c r="O62" s="629">
        <f>N62</f>
        <v>106704000</v>
      </c>
      <c r="P62" s="630"/>
      <c r="Q62" s="630"/>
    </row>
    <row r="63" spans="1:17" s="28" customFormat="1" ht="19.899999999999999" customHeight="1" x14ac:dyDescent="0.3">
      <c r="A63" s="622">
        <f>+A62+1</f>
        <v>2</v>
      </c>
      <c r="B63" s="623" t="s">
        <v>127</v>
      </c>
      <c r="C63" s="636">
        <v>6410000</v>
      </c>
      <c r="D63" s="636"/>
      <c r="E63" s="628"/>
      <c r="F63" s="628"/>
      <c r="G63" s="628"/>
      <c r="H63" s="628"/>
      <c r="I63" s="627">
        <f t="shared" ref="I63:I117" si="16">C63*12</f>
        <v>76920000</v>
      </c>
      <c r="J63" s="627">
        <f t="shared" ref="J63:J117" si="17">I63*23.5%</f>
        <v>18076200</v>
      </c>
      <c r="K63" s="627">
        <f t="shared" si="10"/>
        <v>94996200</v>
      </c>
      <c r="L63" s="628"/>
      <c r="M63" s="628"/>
      <c r="N63" s="627">
        <f t="shared" si="15"/>
        <v>94996200</v>
      </c>
      <c r="O63" s="629">
        <f t="shared" ref="O63:O78" si="18">N63</f>
        <v>94996200</v>
      </c>
      <c r="P63" s="630"/>
      <c r="Q63" s="630"/>
    </row>
    <row r="64" spans="1:17" s="28" customFormat="1" ht="19.899999999999999" customHeight="1" x14ac:dyDescent="0.3">
      <c r="A64" s="622">
        <v>3</v>
      </c>
      <c r="B64" s="623" t="s">
        <v>128</v>
      </c>
      <c r="C64" s="636">
        <v>6410000</v>
      </c>
      <c r="D64" s="636"/>
      <c r="E64" s="628"/>
      <c r="F64" s="628"/>
      <c r="G64" s="628"/>
      <c r="H64" s="628"/>
      <c r="I64" s="627">
        <f t="shared" si="16"/>
        <v>76920000</v>
      </c>
      <c r="J64" s="627">
        <f t="shared" si="17"/>
        <v>18076200</v>
      </c>
      <c r="K64" s="627">
        <f t="shared" si="10"/>
        <v>94996200</v>
      </c>
      <c r="L64" s="628"/>
      <c r="M64" s="628"/>
      <c r="N64" s="627">
        <f t="shared" si="15"/>
        <v>94996200</v>
      </c>
      <c r="O64" s="629">
        <f t="shared" si="18"/>
        <v>94996200</v>
      </c>
      <c r="P64" s="630"/>
      <c r="Q64" s="630"/>
    </row>
    <row r="65" spans="1:17" s="28" customFormat="1" ht="19.899999999999999" customHeight="1" x14ac:dyDescent="0.3">
      <c r="A65" s="622">
        <v>4</v>
      </c>
      <c r="B65" s="623" t="s">
        <v>129</v>
      </c>
      <c r="C65" s="636">
        <v>4800000</v>
      </c>
      <c r="D65" s="636"/>
      <c r="E65" s="628"/>
      <c r="F65" s="628"/>
      <c r="G65" s="628"/>
      <c r="H65" s="628"/>
      <c r="I65" s="627">
        <f t="shared" si="16"/>
        <v>57600000</v>
      </c>
      <c r="J65" s="627">
        <f t="shared" si="17"/>
        <v>13536000</v>
      </c>
      <c r="K65" s="627">
        <f t="shared" si="10"/>
        <v>71136000</v>
      </c>
      <c r="L65" s="628"/>
      <c r="M65" s="628"/>
      <c r="N65" s="627">
        <f t="shared" si="15"/>
        <v>71136000</v>
      </c>
      <c r="O65" s="629">
        <f t="shared" si="18"/>
        <v>71136000</v>
      </c>
      <c r="P65" s="630"/>
      <c r="Q65" s="630"/>
    </row>
    <row r="66" spans="1:17" s="28" customFormat="1" ht="19.899999999999999" customHeight="1" x14ac:dyDescent="0.3">
      <c r="A66" s="622">
        <v>5</v>
      </c>
      <c r="B66" s="623" t="s">
        <v>130</v>
      </c>
      <c r="C66" s="636">
        <v>6800000</v>
      </c>
      <c r="D66" s="636"/>
      <c r="E66" s="628"/>
      <c r="F66" s="628"/>
      <c r="G66" s="628"/>
      <c r="H66" s="628"/>
      <c r="I66" s="627">
        <f t="shared" si="16"/>
        <v>81600000</v>
      </c>
      <c r="J66" s="627">
        <f t="shared" si="17"/>
        <v>19176000</v>
      </c>
      <c r="K66" s="627">
        <f t="shared" si="10"/>
        <v>100776000</v>
      </c>
      <c r="L66" s="628"/>
      <c r="M66" s="628"/>
      <c r="N66" s="627">
        <f t="shared" si="15"/>
        <v>100776000</v>
      </c>
      <c r="O66" s="629">
        <f t="shared" si="18"/>
        <v>100776000</v>
      </c>
      <c r="P66" s="630"/>
      <c r="Q66" s="630"/>
    </row>
    <row r="67" spans="1:17" s="28" customFormat="1" ht="19.899999999999999" customHeight="1" x14ac:dyDescent="0.3">
      <c r="A67" s="622">
        <v>6</v>
      </c>
      <c r="B67" s="623" t="s">
        <v>131</v>
      </c>
      <c r="C67" s="636">
        <v>5600000</v>
      </c>
      <c r="D67" s="636"/>
      <c r="E67" s="628"/>
      <c r="F67" s="628"/>
      <c r="G67" s="628"/>
      <c r="H67" s="628"/>
      <c r="I67" s="627">
        <f t="shared" si="16"/>
        <v>67200000</v>
      </c>
      <c r="J67" s="627">
        <f t="shared" si="17"/>
        <v>15792000</v>
      </c>
      <c r="K67" s="627">
        <f t="shared" si="10"/>
        <v>82992000</v>
      </c>
      <c r="L67" s="628"/>
      <c r="M67" s="628"/>
      <c r="N67" s="627">
        <f t="shared" si="15"/>
        <v>82992000</v>
      </c>
      <c r="O67" s="629">
        <f t="shared" si="18"/>
        <v>82992000</v>
      </c>
      <c r="P67" s="630"/>
      <c r="Q67" s="630"/>
    </row>
    <row r="68" spans="1:17" s="28" customFormat="1" ht="19.899999999999999" customHeight="1" x14ac:dyDescent="0.3">
      <c r="A68" s="622">
        <v>7</v>
      </c>
      <c r="B68" s="623" t="s">
        <v>132</v>
      </c>
      <c r="C68" s="636">
        <v>5200000</v>
      </c>
      <c r="D68" s="636"/>
      <c r="E68" s="628"/>
      <c r="F68" s="628"/>
      <c r="G68" s="628"/>
      <c r="H68" s="628"/>
      <c r="I68" s="627">
        <f t="shared" si="16"/>
        <v>62400000</v>
      </c>
      <c r="J68" s="627">
        <f t="shared" si="17"/>
        <v>14664000</v>
      </c>
      <c r="K68" s="627">
        <f t="shared" si="10"/>
        <v>77064000</v>
      </c>
      <c r="L68" s="628"/>
      <c r="M68" s="628"/>
      <c r="N68" s="627">
        <f t="shared" si="15"/>
        <v>77064000</v>
      </c>
      <c r="O68" s="629">
        <f t="shared" si="18"/>
        <v>77064000</v>
      </c>
      <c r="P68" s="630"/>
      <c r="Q68" s="630"/>
    </row>
    <row r="69" spans="1:17" s="28" customFormat="1" ht="19.899999999999999" customHeight="1" x14ac:dyDescent="0.3">
      <c r="A69" s="622">
        <v>8</v>
      </c>
      <c r="B69" s="623" t="s">
        <v>133</v>
      </c>
      <c r="C69" s="636">
        <v>6410000</v>
      </c>
      <c r="D69" s="636"/>
      <c r="E69" s="628"/>
      <c r="F69" s="628"/>
      <c r="G69" s="628"/>
      <c r="H69" s="628"/>
      <c r="I69" s="627">
        <f t="shared" si="16"/>
        <v>76920000</v>
      </c>
      <c r="J69" s="627">
        <f t="shared" si="17"/>
        <v>18076200</v>
      </c>
      <c r="K69" s="627">
        <f t="shared" si="10"/>
        <v>94996200</v>
      </c>
      <c r="L69" s="628"/>
      <c r="M69" s="628"/>
      <c r="N69" s="627">
        <f t="shared" si="15"/>
        <v>94996200</v>
      </c>
      <c r="O69" s="629">
        <f t="shared" si="18"/>
        <v>94996200</v>
      </c>
      <c r="P69" s="630"/>
      <c r="Q69" s="630"/>
    </row>
    <row r="70" spans="1:17" s="28" customFormat="1" ht="19.899999999999999" customHeight="1" x14ac:dyDescent="0.3">
      <c r="A70" s="622">
        <v>9</v>
      </c>
      <c r="B70" s="623" t="s">
        <v>134</v>
      </c>
      <c r="C70" s="636">
        <v>6500000</v>
      </c>
      <c r="D70" s="636"/>
      <c r="E70" s="628"/>
      <c r="F70" s="628"/>
      <c r="G70" s="628"/>
      <c r="H70" s="628"/>
      <c r="I70" s="627">
        <f t="shared" si="16"/>
        <v>78000000</v>
      </c>
      <c r="J70" s="627">
        <f t="shared" si="17"/>
        <v>18330000</v>
      </c>
      <c r="K70" s="627">
        <f t="shared" si="10"/>
        <v>96330000</v>
      </c>
      <c r="L70" s="628"/>
      <c r="M70" s="628"/>
      <c r="N70" s="627">
        <f t="shared" si="15"/>
        <v>96330000</v>
      </c>
      <c r="O70" s="629">
        <f t="shared" si="18"/>
        <v>96330000</v>
      </c>
      <c r="P70" s="630"/>
      <c r="Q70" s="630"/>
    </row>
    <row r="71" spans="1:17" s="29" customFormat="1" ht="19.899999999999999" customHeight="1" x14ac:dyDescent="0.3">
      <c r="A71" s="622">
        <v>10</v>
      </c>
      <c r="B71" s="623" t="s">
        <v>135</v>
      </c>
      <c r="C71" s="636">
        <v>6410000</v>
      </c>
      <c r="D71" s="636"/>
      <c r="E71" s="628"/>
      <c r="F71" s="637"/>
      <c r="G71" s="628"/>
      <c r="H71" s="628"/>
      <c r="I71" s="627">
        <f t="shared" si="16"/>
        <v>76920000</v>
      </c>
      <c r="J71" s="627">
        <f t="shared" si="17"/>
        <v>18076200</v>
      </c>
      <c r="K71" s="627">
        <f t="shared" si="10"/>
        <v>94996200</v>
      </c>
      <c r="L71" s="628"/>
      <c r="M71" s="628"/>
      <c r="N71" s="627">
        <f t="shared" si="15"/>
        <v>94996200</v>
      </c>
      <c r="O71" s="629">
        <f t="shared" si="18"/>
        <v>94996200</v>
      </c>
      <c r="P71" s="638"/>
      <c r="Q71" s="638"/>
    </row>
    <row r="72" spans="1:17" s="28" customFormat="1" ht="19.899999999999999" customHeight="1" x14ac:dyDescent="0.3">
      <c r="A72" s="622">
        <v>11</v>
      </c>
      <c r="B72" s="623" t="s">
        <v>136</v>
      </c>
      <c r="C72" s="636">
        <v>4730000</v>
      </c>
      <c r="D72" s="636"/>
      <c r="E72" s="628"/>
      <c r="F72" s="628"/>
      <c r="G72" s="628"/>
      <c r="H72" s="628"/>
      <c r="I72" s="627">
        <f t="shared" si="16"/>
        <v>56760000</v>
      </c>
      <c r="J72" s="627">
        <f t="shared" si="17"/>
        <v>13338600</v>
      </c>
      <c r="K72" s="627">
        <f t="shared" si="10"/>
        <v>70098600</v>
      </c>
      <c r="L72" s="628"/>
      <c r="M72" s="628"/>
      <c r="N72" s="627">
        <f t="shared" si="15"/>
        <v>70098600</v>
      </c>
      <c r="O72" s="629">
        <f t="shared" si="18"/>
        <v>70098600</v>
      </c>
      <c r="P72" s="630"/>
      <c r="Q72" s="630"/>
    </row>
    <row r="73" spans="1:17" s="28" customFormat="1" ht="19.899999999999999" customHeight="1" x14ac:dyDescent="0.3">
      <c r="A73" s="622">
        <v>12</v>
      </c>
      <c r="B73" s="623" t="s">
        <v>137</v>
      </c>
      <c r="C73" s="636">
        <v>4800000</v>
      </c>
      <c r="D73" s="636"/>
      <c r="E73" s="628"/>
      <c r="F73" s="628"/>
      <c r="G73" s="628"/>
      <c r="H73" s="628"/>
      <c r="I73" s="627">
        <f>C73*12</f>
        <v>57600000</v>
      </c>
      <c r="J73" s="627">
        <f t="shared" si="17"/>
        <v>13536000</v>
      </c>
      <c r="K73" s="627">
        <f t="shared" si="10"/>
        <v>71136000</v>
      </c>
      <c r="L73" s="628"/>
      <c r="M73" s="628"/>
      <c r="N73" s="627">
        <f t="shared" si="15"/>
        <v>71136000</v>
      </c>
      <c r="O73" s="629">
        <f t="shared" si="18"/>
        <v>71136000</v>
      </c>
      <c r="P73" s="630"/>
      <c r="Q73" s="630"/>
    </row>
    <row r="74" spans="1:17" s="28" customFormat="1" ht="19.899999999999999" customHeight="1" x14ac:dyDescent="0.3">
      <c r="A74" s="622">
        <v>13</v>
      </c>
      <c r="B74" s="623" t="s">
        <v>138</v>
      </c>
      <c r="C74" s="636">
        <v>7200000</v>
      </c>
      <c r="D74" s="636"/>
      <c r="E74" s="628"/>
      <c r="F74" s="628"/>
      <c r="G74" s="628"/>
      <c r="H74" s="628"/>
      <c r="I74" s="627">
        <f t="shared" si="16"/>
        <v>86400000</v>
      </c>
      <c r="J74" s="627">
        <f t="shared" si="17"/>
        <v>20304000</v>
      </c>
      <c r="K74" s="627">
        <f t="shared" si="10"/>
        <v>106704000</v>
      </c>
      <c r="L74" s="628"/>
      <c r="M74" s="628"/>
      <c r="N74" s="627">
        <f t="shared" si="15"/>
        <v>106704000</v>
      </c>
      <c r="O74" s="629">
        <f t="shared" si="18"/>
        <v>106704000</v>
      </c>
      <c r="P74" s="630"/>
      <c r="Q74" s="630"/>
    </row>
    <row r="75" spans="1:17" s="28" customFormat="1" ht="19.899999999999999" customHeight="1" x14ac:dyDescent="0.3">
      <c r="A75" s="622">
        <v>14</v>
      </c>
      <c r="B75" s="623" t="s">
        <v>139</v>
      </c>
      <c r="C75" s="636">
        <v>8900000</v>
      </c>
      <c r="D75" s="636"/>
      <c r="E75" s="628"/>
      <c r="F75" s="628"/>
      <c r="G75" s="628"/>
      <c r="H75" s="628"/>
      <c r="I75" s="627">
        <f t="shared" si="16"/>
        <v>106800000</v>
      </c>
      <c r="J75" s="627">
        <f t="shared" si="17"/>
        <v>25098000</v>
      </c>
      <c r="K75" s="627">
        <f t="shared" si="10"/>
        <v>131898000</v>
      </c>
      <c r="L75" s="628"/>
      <c r="M75" s="628"/>
      <c r="N75" s="627">
        <f t="shared" si="15"/>
        <v>131898000</v>
      </c>
      <c r="O75" s="629">
        <f t="shared" si="18"/>
        <v>131898000</v>
      </c>
      <c r="P75" s="630"/>
      <c r="Q75" s="630"/>
    </row>
    <row r="76" spans="1:17" s="28" customFormat="1" ht="19.899999999999999" customHeight="1" x14ac:dyDescent="0.3">
      <c r="A76" s="622">
        <v>15</v>
      </c>
      <c r="B76" s="623" t="s">
        <v>140</v>
      </c>
      <c r="C76" s="636">
        <v>4730000</v>
      </c>
      <c r="D76" s="636"/>
      <c r="E76" s="628"/>
      <c r="F76" s="628"/>
      <c r="G76" s="628"/>
      <c r="H76" s="628"/>
      <c r="I76" s="627">
        <f t="shared" si="16"/>
        <v>56760000</v>
      </c>
      <c r="J76" s="627">
        <f t="shared" si="17"/>
        <v>13338600</v>
      </c>
      <c r="K76" s="627">
        <f t="shared" si="10"/>
        <v>70098600</v>
      </c>
      <c r="L76" s="628"/>
      <c r="M76" s="628"/>
      <c r="N76" s="627">
        <f t="shared" si="15"/>
        <v>70098600</v>
      </c>
      <c r="O76" s="629">
        <f t="shared" si="18"/>
        <v>70098600</v>
      </c>
      <c r="P76" s="630"/>
      <c r="Q76" s="630"/>
    </row>
    <row r="77" spans="1:17" s="28" customFormat="1" ht="19.899999999999999" customHeight="1" x14ac:dyDescent="0.3">
      <c r="A77" s="622">
        <v>16</v>
      </c>
      <c r="B77" s="623" t="s">
        <v>141</v>
      </c>
      <c r="C77" s="636">
        <v>4730000</v>
      </c>
      <c r="D77" s="636"/>
      <c r="E77" s="636"/>
      <c r="F77" s="636"/>
      <c r="G77" s="628"/>
      <c r="H77" s="628"/>
      <c r="I77" s="627">
        <f t="shared" si="16"/>
        <v>56760000</v>
      </c>
      <c r="J77" s="627">
        <f t="shared" si="17"/>
        <v>13338600</v>
      </c>
      <c r="K77" s="627">
        <f t="shared" si="10"/>
        <v>70098600</v>
      </c>
      <c r="L77" s="628"/>
      <c r="M77" s="628"/>
      <c r="N77" s="627">
        <f t="shared" si="15"/>
        <v>70098600</v>
      </c>
      <c r="O77" s="629">
        <f t="shared" si="18"/>
        <v>70098600</v>
      </c>
      <c r="P77" s="630"/>
      <c r="Q77" s="630"/>
    </row>
    <row r="78" spans="1:17" s="28" customFormat="1" ht="19.899999999999999" customHeight="1" x14ac:dyDescent="0.3">
      <c r="A78" s="622">
        <v>17</v>
      </c>
      <c r="B78" s="623" t="s">
        <v>142</v>
      </c>
      <c r="C78" s="636">
        <v>5700000</v>
      </c>
      <c r="D78" s="636"/>
      <c r="E78" s="628"/>
      <c r="F78" s="628"/>
      <c r="G78" s="628"/>
      <c r="H78" s="628"/>
      <c r="I78" s="627">
        <f t="shared" si="16"/>
        <v>68400000</v>
      </c>
      <c r="J78" s="627">
        <f t="shared" si="17"/>
        <v>16074000</v>
      </c>
      <c r="K78" s="627">
        <f t="shared" si="10"/>
        <v>84474000</v>
      </c>
      <c r="L78" s="628"/>
      <c r="M78" s="628"/>
      <c r="N78" s="627">
        <f t="shared" si="15"/>
        <v>84474000</v>
      </c>
      <c r="O78" s="629">
        <f t="shared" si="18"/>
        <v>84474000</v>
      </c>
      <c r="P78" s="629"/>
      <c r="Q78" s="630"/>
    </row>
    <row r="79" spans="1:17" s="28" customFormat="1" ht="19.899999999999999" customHeight="1" x14ac:dyDescent="0.3">
      <c r="A79" s="622">
        <v>18</v>
      </c>
      <c r="B79" s="623" t="s">
        <v>143</v>
      </c>
      <c r="C79" s="636">
        <v>4730000</v>
      </c>
      <c r="D79" s="636"/>
      <c r="E79" s="628"/>
      <c r="F79" s="628"/>
      <c r="G79" s="628"/>
      <c r="H79" s="628"/>
      <c r="I79" s="627">
        <f t="shared" si="16"/>
        <v>56760000</v>
      </c>
      <c r="J79" s="627">
        <f t="shared" si="17"/>
        <v>13338600</v>
      </c>
      <c r="K79" s="627">
        <f t="shared" si="10"/>
        <v>70098600</v>
      </c>
      <c r="L79" s="628"/>
      <c r="M79" s="628"/>
      <c r="N79" s="627">
        <f t="shared" si="15"/>
        <v>70098600</v>
      </c>
      <c r="O79" s="630"/>
      <c r="P79" s="629">
        <f t="shared" ref="P79:P90" si="19">N79</f>
        <v>70098600</v>
      </c>
      <c r="Q79" s="630"/>
    </row>
    <row r="80" spans="1:17" s="28" customFormat="1" ht="19.899999999999999" customHeight="1" x14ac:dyDescent="0.3">
      <c r="A80" s="622">
        <v>19</v>
      </c>
      <c r="B80" s="623" t="s">
        <v>144</v>
      </c>
      <c r="C80" s="636">
        <v>8200000</v>
      </c>
      <c r="D80" s="636"/>
      <c r="E80" s="628"/>
      <c r="F80" s="628"/>
      <c r="G80" s="628"/>
      <c r="H80" s="628"/>
      <c r="I80" s="627">
        <f t="shared" si="16"/>
        <v>98400000</v>
      </c>
      <c r="J80" s="627">
        <f t="shared" si="17"/>
        <v>23124000</v>
      </c>
      <c r="K80" s="627">
        <f t="shared" si="10"/>
        <v>121524000</v>
      </c>
      <c r="L80" s="628"/>
      <c r="M80" s="628"/>
      <c r="N80" s="627">
        <f t="shared" si="15"/>
        <v>121524000</v>
      </c>
      <c r="O80" s="630"/>
      <c r="P80" s="629">
        <f t="shared" si="19"/>
        <v>121524000</v>
      </c>
      <c r="Q80" s="630"/>
    </row>
    <row r="81" spans="1:17" s="28" customFormat="1" ht="19.899999999999999" customHeight="1" x14ac:dyDescent="0.3">
      <c r="A81" s="622">
        <v>20</v>
      </c>
      <c r="B81" s="623" t="s">
        <v>145</v>
      </c>
      <c r="C81" s="636">
        <v>5200000</v>
      </c>
      <c r="D81" s="636"/>
      <c r="E81" s="628"/>
      <c r="F81" s="628"/>
      <c r="G81" s="628"/>
      <c r="H81" s="628"/>
      <c r="I81" s="627">
        <f t="shared" si="16"/>
        <v>62400000</v>
      </c>
      <c r="J81" s="627">
        <f t="shared" si="17"/>
        <v>14664000</v>
      </c>
      <c r="K81" s="627">
        <f t="shared" si="10"/>
        <v>77064000</v>
      </c>
      <c r="L81" s="628"/>
      <c r="M81" s="628"/>
      <c r="N81" s="627">
        <f t="shared" si="15"/>
        <v>77064000</v>
      </c>
      <c r="O81" s="630"/>
      <c r="P81" s="629">
        <f t="shared" si="19"/>
        <v>77064000</v>
      </c>
      <c r="Q81" s="630"/>
    </row>
    <row r="82" spans="1:17" s="28" customFormat="1" ht="19.899999999999999" customHeight="1" x14ac:dyDescent="0.3">
      <c r="A82" s="622">
        <v>21</v>
      </c>
      <c r="B82" s="623" t="s">
        <v>146</v>
      </c>
      <c r="C82" s="636">
        <v>8200000</v>
      </c>
      <c r="D82" s="636"/>
      <c r="E82" s="628"/>
      <c r="F82" s="628"/>
      <c r="G82" s="628"/>
      <c r="H82" s="628"/>
      <c r="I82" s="627">
        <f t="shared" si="16"/>
        <v>98400000</v>
      </c>
      <c r="J82" s="627">
        <f t="shared" si="17"/>
        <v>23124000</v>
      </c>
      <c r="K82" s="627">
        <f t="shared" si="10"/>
        <v>121524000</v>
      </c>
      <c r="L82" s="628"/>
      <c r="M82" s="628"/>
      <c r="N82" s="627">
        <f t="shared" si="15"/>
        <v>121524000</v>
      </c>
      <c r="O82" s="630"/>
      <c r="P82" s="629">
        <f t="shared" si="19"/>
        <v>121524000</v>
      </c>
      <c r="Q82" s="630"/>
    </row>
    <row r="83" spans="1:17" s="28" customFormat="1" ht="19.899999999999999" customHeight="1" x14ac:dyDescent="0.3">
      <c r="A83" s="622">
        <v>22</v>
      </c>
      <c r="B83" s="623" t="s">
        <v>147</v>
      </c>
      <c r="C83" s="636">
        <v>8200000</v>
      </c>
      <c r="D83" s="636"/>
      <c r="E83" s="628"/>
      <c r="F83" s="628"/>
      <c r="G83" s="628"/>
      <c r="H83" s="628"/>
      <c r="I83" s="627">
        <f t="shared" si="16"/>
        <v>98400000</v>
      </c>
      <c r="J83" s="627">
        <f t="shared" si="17"/>
        <v>23124000</v>
      </c>
      <c r="K83" s="627">
        <f t="shared" si="10"/>
        <v>121524000</v>
      </c>
      <c r="L83" s="628"/>
      <c r="M83" s="628"/>
      <c r="N83" s="627">
        <f t="shared" si="15"/>
        <v>121524000</v>
      </c>
      <c r="O83" s="630"/>
      <c r="P83" s="629">
        <f t="shared" si="19"/>
        <v>121524000</v>
      </c>
      <c r="Q83" s="630"/>
    </row>
    <row r="84" spans="1:17" s="28" customFormat="1" ht="19.899999999999999" customHeight="1" x14ac:dyDescent="0.3">
      <c r="A84" s="622">
        <v>23</v>
      </c>
      <c r="B84" s="623" t="s">
        <v>148</v>
      </c>
      <c r="C84" s="636">
        <v>6900000</v>
      </c>
      <c r="D84" s="636"/>
      <c r="E84" s="628"/>
      <c r="F84" s="628"/>
      <c r="G84" s="628"/>
      <c r="H84" s="628"/>
      <c r="I84" s="627">
        <f t="shared" si="16"/>
        <v>82800000</v>
      </c>
      <c r="J84" s="627">
        <f t="shared" si="17"/>
        <v>19458000</v>
      </c>
      <c r="K84" s="627">
        <f t="shared" si="10"/>
        <v>102258000</v>
      </c>
      <c r="L84" s="628"/>
      <c r="M84" s="628"/>
      <c r="N84" s="627">
        <f t="shared" si="15"/>
        <v>102258000</v>
      </c>
      <c r="O84" s="630"/>
      <c r="P84" s="629">
        <f t="shared" si="19"/>
        <v>102258000</v>
      </c>
      <c r="Q84" s="630"/>
    </row>
    <row r="85" spans="1:17" s="28" customFormat="1" ht="19.899999999999999" customHeight="1" x14ac:dyDescent="0.3">
      <c r="A85" s="622">
        <v>24</v>
      </c>
      <c r="B85" s="623" t="s">
        <v>149</v>
      </c>
      <c r="C85" s="636">
        <v>5200000</v>
      </c>
      <c r="D85" s="636"/>
      <c r="E85" s="628"/>
      <c r="F85" s="628"/>
      <c r="G85" s="628"/>
      <c r="H85" s="628"/>
      <c r="I85" s="627">
        <f t="shared" si="16"/>
        <v>62400000</v>
      </c>
      <c r="J85" s="627">
        <f t="shared" si="17"/>
        <v>14664000</v>
      </c>
      <c r="K85" s="627">
        <f t="shared" si="10"/>
        <v>77064000</v>
      </c>
      <c r="L85" s="628"/>
      <c r="M85" s="628"/>
      <c r="N85" s="627">
        <f t="shared" si="15"/>
        <v>77064000</v>
      </c>
      <c r="O85" s="630"/>
      <c r="P85" s="629">
        <f t="shared" si="19"/>
        <v>77064000</v>
      </c>
      <c r="Q85" s="630"/>
    </row>
    <row r="86" spans="1:17" s="28" customFormat="1" ht="19.899999999999999" customHeight="1" x14ac:dyDescent="0.3">
      <c r="A86" s="622">
        <v>25</v>
      </c>
      <c r="B86" s="623" t="s">
        <v>150</v>
      </c>
      <c r="C86" s="636">
        <v>4800000</v>
      </c>
      <c r="D86" s="636"/>
      <c r="E86" s="628"/>
      <c r="F86" s="628"/>
      <c r="G86" s="628"/>
      <c r="H86" s="628"/>
      <c r="I86" s="627">
        <f t="shared" si="16"/>
        <v>57600000</v>
      </c>
      <c r="J86" s="627">
        <f t="shared" si="17"/>
        <v>13536000</v>
      </c>
      <c r="K86" s="627">
        <f t="shared" si="10"/>
        <v>71136000</v>
      </c>
      <c r="L86" s="628"/>
      <c r="M86" s="628"/>
      <c r="N86" s="627">
        <f t="shared" si="15"/>
        <v>71136000</v>
      </c>
      <c r="O86" s="630"/>
      <c r="P86" s="629">
        <f t="shared" si="19"/>
        <v>71136000</v>
      </c>
      <c r="Q86" s="630"/>
    </row>
    <row r="87" spans="1:17" s="28" customFormat="1" ht="19.899999999999999" customHeight="1" x14ac:dyDescent="0.3">
      <c r="A87" s="622">
        <v>26</v>
      </c>
      <c r="B87" s="623" t="s">
        <v>151</v>
      </c>
      <c r="C87" s="636">
        <v>5700000</v>
      </c>
      <c r="D87" s="636"/>
      <c r="E87" s="628"/>
      <c r="F87" s="628"/>
      <c r="G87" s="628"/>
      <c r="H87" s="628"/>
      <c r="I87" s="627">
        <f t="shared" si="16"/>
        <v>68400000</v>
      </c>
      <c r="J87" s="627">
        <f t="shared" si="17"/>
        <v>16074000</v>
      </c>
      <c r="K87" s="627">
        <f t="shared" si="10"/>
        <v>84474000</v>
      </c>
      <c r="L87" s="628"/>
      <c r="M87" s="628"/>
      <c r="N87" s="627">
        <f t="shared" si="15"/>
        <v>84474000</v>
      </c>
      <c r="O87" s="630"/>
      <c r="P87" s="629">
        <f t="shared" si="19"/>
        <v>84474000</v>
      </c>
      <c r="Q87" s="630"/>
    </row>
    <row r="88" spans="1:17" s="28" customFormat="1" ht="19.899999999999999" customHeight="1" x14ac:dyDescent="0.3">
      <c r="A88" s="622">
        <v>27</v>
      </c>
      <c r="B88" s="623" t="s">
        <v>137</v>
      </c>
      <c r="C88" s="628">
        <v>5200000</v>
      </c>
      <c r="D88" s="628"/>
      <c r="E88" s="628"/>
      <c r="F88" s="628"/>
      <c r="G88" s="628"/>
      <c r="H88" s="628"/>
      <c r="I88" s="627">
        <f t="shared" si="16"/>
        <v>62400000</v>
      </c>
      <c r="J88" s="627">
        <f t="shared" si="17"/>
        <v>14664000</v>
      </c>
      <c r="K88" s="627">
        <f t="shared" si="10"/>
        <v>77064000</v>
      </c>
      <c r="L88" s="628"/>
      <c r="M88" s="628"/>
      <c r="N88" s="627">
        <f t="shared" si="15"/>
        <v>77064000</v>
      </c>
      <c r="O88" s="630"/>
      <c r="P88" s="629">
        <f t="shared" si="19"/>
        <v>77064000</v>
      </c>
      <c r="Q88" s="630"/>
    </row>
    <row r="89" spans="1:17" s="28" customFormat="1" ht="19.899999999999999" customHeight="1" x14ac:dyDescent="0.3">
      <c r="A89" s="622">
        <v>28</v>
      </c>
      <c r="B89" s="623" t="s">
        <v>152</v>
      </c>
      <c r="C89" s="628">
        <v>4730000</v>
      </c>
      <c r="D89" s="628"/>
      <c r="E89" s="628"/>
      <c r="F89" s="628"/>
      <c r="G89" s="628"/>
      <c r="H89" s="628"/>
      <c r="I89" s="627">
        <f t="shared" si="16"/>
        <v>56760000</v>
      </c>
      <c r="J89" s="627">
        <f t="shared" si="17"/>
        <v>13338600</v>
      </c>
      <c r="K89" s="627">
        <f t="shared" si="10"/>
        <v>70098600</v>
      </c>
      <c r="L89" s="628"/>
      <c r="M89" s="628"/>
      <c r="N89" s="627">
        <f t="shared" si="15"/>
        <v>70098600</v>
      </c>
      <c r="O89" s="630"/>
      <c r="P89" s="629">
        <f t="shared" si="19"/>
        <v>70098600</v>
      </c>
      <c r="Q89" s="630"/>
    </row>
    <row r="90" spans="1:17" s="28" customFormat="1" ht="19.899999999999999" customHeight="1" x14ac:dyDescent="0.3">
      <c r="A90" s="622">
        <v>29</v>
      </c>
      <c r="B90" s="623" t="s">
        <v>153</v>
      </c>
      <c r="C90" s="628">
        <v>4730000</v>
      </c>
      <c r="D90" s="628"/>
      <c r="E90" s="628"/>
      <c r="F90" s="628"/>
      <c r="G90" s="628"/>
      <c r="H90" s="628"/>
      <c r="I90" s="627">
        <f t="shared" si="16"/>
        <v>56760000</v>
      </c>
      <c r="J90" s="627">
        <f t="shared" si="17"/>
        <v>13338600</v>
      </c>
      <c r="K90" s="627">
        <f t="shared" si="10"/>
        <v>70098600</v>
      </c>
      <c r="L90" s="628"/>
      <c r="M90" s="628"/>
      <c r="N90" s="627">
        <f t="shared" si="15"/>
        <v>70098600</v>
      </c>
      <c r="O90" s="630"/>
      <c r="P90" s="629">
        <f t="shared" si="19"/>
        <v>70098600</v>
      </c>
      <c r="Q90" s="630"/>
    </row>
    <row r="91" spans="1:17" s="28" customFormat="1" ht="19.899999999999999" customHeight="1" x14ac:dyDescent="0.3">
      <c r="A91" s="622">
        <v>30</v>
      </c>
      <c r="B91" s="623" t="s">
        <v>154</v>
      </c>
      <c r="C91" s="628">
        <v>5300000</v>
      </c>
      <c r="D91" s="628"/>
      <c r="E91" s="628"/>
      <c r="F91" s="628"/>
      <c r="G91" s="628"/>
      <c r="H91" s="628"/>
      <c r="I91" s="627">
        <f t="shared" si="16"/>
        <v>63600000</v>
      </c>
      <c r="J91" s="627">
        <f t="shared" si="17"/>
        <v>14946000</v>
      </c>
      <c r="K91" s="627">
        <f t="shared" si="10"/>
        <v>78546000</v>
      </c>
      <c r="L91" s="628"/>
      <c r="M91" s="628"/>
      <c r="N91" s="627">
        <f t="shared" si="15"/>
        <v>78546000</v>
      </c>
      <c r="O91" s="629"/>
      <c r="P91" s="630"/>
      <c r="Q91" s="629">
        <f>N91</f>
        <v>78546000</v>
      </c>
    </row>
    <row r="92" spans="1:17" s="28" customFormat="1" ht="19.899999999999999" customHeight="1" x14ac:dyDescent="0.3">
      <c r="A92" s="622">
        <v>31</v>
      </c>
      <c r="B92" s="623" t="s">
        <v>155</v>
      </c>
      <c r="C92" s="628">
        <v>9500000</v>
      </c>
      <c r="D92" s="628"/>
      <c r="E92" s="628"/>
      <c r="F92" s="628"/>
      <c r="G92" s="628"/>
      <c r="H92" s="628"/>
      <c r="I92" s="627">
        <f t="shared" si="16"/>
        <v>114000000</v>
      </c>
      <c r="J92" s="627">
        <f t="shared" si="17"/>
        <v>26790000</v>
      </c>
      <c r="K92" s="627">
        <f t="shared" si="10"/>
        <v>140790000</v>
      </c>
      <c r="L92" s="628"/>
      <c r="M92" s="628"/>
      <c r="N92" s="627">
        <f t="shared" si="15"/>
        <v>140790000</v>
      </c>
      <c r="O92" s="629"/>
      <c r="P92" s="630"/>
      <c r="Q92" s="629">
        <f t="shared" ref="Q92:Q106" si="20">N92</f>
        <v>140790000</v>
      </c>
    </row>
    <row r="93" spans="1:17" s="28" customFormat="1" ht="19.899999999999999" customHeight="1" x14ac:dyDescent="0.3">
      <c r="A93" s="622">
        <v>32</v>
      </c>
      <c r="B93" s="623" t="s">
        <v>156</v>
      </c>
      <c r="C93" s="628">
        <v>9200000</v>
      </c>
      <c r="D93" s="628"/>
      <c r="E93" s="628"/>
      <c r="F93" s="628"/>
      <c r="G93" s="628"/>
      <c r="H93" s="628"/>
      <c r="I93" s="627">
        <f t="shared" si="16"/>
        <v>110400000</v>
      </c>
      <c r="J93" s="627">
        <f t="shared" si="17"/>
        <v>25944000</v>
      </c>
      <c r="K93" s="627">
        <f t="shared" si="10"/>
        <v>136344000</v>
      </c>
      <c r="L93" s="628"/>
      <c r="M93" s="628"/>
      <c r="N93" s="627">
        <f t="shared" si="15"/>
        <v>136344000</v>
      </c>
      <c r="O93" s="629"/>
      <c r="P93" s="630"/>
      <c r="Q93" s="629">
        <f t="shared" si="20"/>
        <v>136344000</v>
      </c>
    </row>
    <row r="94" spans="1:17" s="28" customFormat="1" ht="19.899999999999999" customHeight="1" x14ac:dyDescent="0.3">
      <c r="A94" s="622">
        <v>33</v>
      </c>
      <c r="B94" s="623" t="s">
        <v>157</v>
      </c>
      <c r="C94" s="628">
        <v>6600000</v>
      </c>
      <c r="D94" s="636"/>
      <c r="E94" s="628"/>
      <c r="F94" s="628"/>
      <c r="G94" s="628"/>
      <c r="H94" s="628"/>
      <c r="I94" s="627">
        <f t="shared" si="16"/>
        <v>79200000</v>
      </c>
      <c r="J94" s="627">
        <f t="shared" si="17"/>
        <v>18612000</v>
      </c>
      <c r="K94" s="627">
        <f t="shared" si="10"/>
        <v>97812000</v>
      </c>
      <c r="L94" s="628"/>
      <c r="M94" s="628"/>
      <c r="N94" s="627">
        <f t="shared" ref="N94:N117" si="21">SUM(K94:M94)</f>
        <v>97812000</v>
      </c>
      <c r="O94" s="629"/>
      <c r="P94" s="630"/>
      <c r="Q94" s="629">
        <f t="shared" si="20"/>
        <v>97812000</v>
      </c>
    </row>
    <row r="95" spans="1:17" s="28" customFormat="1" ht="19.899999999999999" customHeight="1" x14ac:dyDescent="0.3">
      <c r="A95" s="622">
        <v>34</v>
      </c>
      <c r="B95" s="623" t="s">
        <v>158</v>
      </c>
      <c r="C95" s="628">
        <v>6600000</v>
      </c>
      <c r="D95" s="636"/>
      <c r="E95" s="628"/>
      <c r="F95" s="628"/>
      <c r="G95" s="628"/>
      <c r="H95" s="628"/>
      <c r="I95" s="627">
        <f t="shared" si="16"/>
        <v>79200000</v>
      </c>
      <c r="J95" s="627">
        <f t="shared" si="17"/>
        <v>18612000</v>
      </c>
      <c r="K95" s="627">
        <f t="shared" si="10"/>
        <v>97812000</v>
      </c>
      <c r="L95" s="628"/>
      <c r="M95" s="628"/>
      <c r="N95" s="627">
        <f t="shared" si="21"/>
        <v>97812000</v>
      </c>
      <c r="O95" s="629"/>
      <c r="P95" s="630"/>
      <c r="Q95" s="629">
        <f t="shared" si="20"/>
        <v>97812000</v>
      </c>
    </row>
    <row r="96" spans="1:17" s="28" customFormat="1" ht="19.899999999999999" customHeight="1" x14ac:dyDescent="0.3">
      <c r="A96" s="622">
        <v>35</v>
      </c>
      <c r="B96" s="623" t="s">
        <v>159</v>
      </c>
      <c r="C96" s="628">
        <v>8100000</v>
      </c>
      <c r="D96" s="628"/>
      <c r="E96" s="628"/>
      <c r="F96" s="628"/>
      <c r="G96" s="628"/>
      <c r="H96" s="628"/>
      <c r="I96" s="627">
        <f t="shared" si="16"/>
        <v>97200000</v>
      </c>
      <c r="J96" s="627">
        <f t="shared" si="17"/>
        <v>22842000</v>
      </c>
      <c r="K96" s="627">
        <f t="shared" si="10"/>
        <v>120042000</v>
      </c>
      <c r="L96" s="628"/>
      <c r="M96" s="628"/>
      <c r="N96" s="627">
        <f t="shared" si="21"/>
        <v>120042000</v>
      </c>
      <c r="O96" s="629">
        <f>N96</f>
        <v>120042000</v>
      </c>
      <c r="P96" s="630"/>
      <c r="Q96" s="629"/>
    </row>
    <row r="97" spans="1:17" s="28" customFormat="1" ht="19.899999999999999" customHeight="1" x14ac:dyDescent="0.3">
      <c r="A97" s="622">
        <v>36</v>
      </c>
      <c r="B97" s="623" t="s">
        <v>160</v>
      </c>
      <c r="C97" s="628">
        <v>4910000</v>
      </c>
      <c r="D97" s="628"/>
      <c r="E97" s="628"/>
      <c r="F97" s="628"/>
      <c r="G97" s="628"/>
      <c r="H97" s="628"/>
      <c r="I97" s="627">
        <f t="shared" si="16"/>
        <v>58920000</v>
      </c>
      <c r="J97" s="627">
        <f t="shared" si="17"/>
        <v>13846200</v>
      </c>
      <c r="K97" s="627">
        <f t="shared" si="10"/>
        <v>72766200</v>
      </c>
      <c r="L97" s="628"/>
      <c r="M97" s="628"/>
      <c r="N97" s="627">
        <f t="shared" si="21"/>
        <v>72766200</v>
      </c>
      <c r="O97" s="629"/>
      <c r="P97" s="630"/>
      <c r="Q97" s="629">
        <f t="shared" si="20"/>
        <v>72766200</v>
      </c>
    </row>
    <row r="98" spans="1:17" s="28" customFormat="1" ht="19.899999999999999" customHeight="1" x14ac:dyDescent="0.3">
      <c r="A98" s="622">
        <v>37</v>
      </c>
      <c r="B98" s="623" t="s">
        <v>161</v>
      </c>
      <c r="C98" s="628">
        <v>6600000</v>
      </c>
      <c r="D98" s="628"/>
      <c r="E98" s="628"/>
      <c r="F98" s="628"/>
      <c r="G98" s="628"/>
      <c r="H98" s="628"/>
      <c r="I98" s="627">
        <f t="shared" si="16"/>
        <v>79200000</v>
      </c>
      <c r="J98" s="627">
        <f t="shared" si="17"/>
        <v>18612000</v>
      </c>
      <c r="K98" s="627">
        <f t="shared" si="10"/>
        <v>97812000</v>
      </c>
      <c r="L98" s="628"/>
      <c r="M98" s="628"/>
      <c r="N98" s="627">
        <f t="shared" si="21"/>
        <v>97812000</v>
      </c>
      <c r="O98" s="629">
        <f>N98</f>
        <v>97812000</v>
      </c>
      <c r="P98" s="630"/>
      <c r="Q98" s="629"/>
    </row>
    <row r="99" spans="1:17" s="28" customFormat="1" ht="19.899999999999999" customHeight="1" x14ac:dyDescent="0.3">
      <c r="A99" s="622">
        <v>38</v>
      </c>
      <c r="B99" s="623" t="s">
        <v>162</v>
      </c>
      <c r="C99" s="628">
        <v>8100000</v>
      </c>
      <c r="D99" s="628"/>
      <c r="E99" s="628"/>
      <c r="F99" s="628"/>
      <c r="G99" s="628"/>
      <c r="H99" s="628"/>
      <c r="I99" s="627">
        <f t="shared" si="16"/>
        <v>97200000</v>
      </c>
      <c r="J99" s="627">
        <f t="shared" si="17"/>
        <v>22842000</v>
      </c>
      <c r="K99" s="627">
        <f t="shared" si="10"/>
        <v>120042000</v>
      </c>
      <c r="L99" s="628"/>
      <c r="M99" s="628"/>
      <c r="N99" s="627">
        <f t="shared" si="21"/>
        <v>120042000</v>
      </c>
      <c r="O99" s="629"/>
      <c r="P99" s="630"/>
      <c r="Q99" s="629">
        <f t="shared" si="20"/>
        <v>120042000</v>
      </c>
    </row>
    <row r="100" spans="1:17" s="28" customFormat="1" ht="19.899999999999999" customHeight="1" x14ac:dyDescent="0.3">
      <c r="A100" s="622">
        <v>39</v>
      </c>
      <c r="B100" s="623" t="s">
        <v>163</v>
      </c>
      <c r="C100" s="628">
        <v>7100000</v>
      </c>
      <c r="D100" s="628"/>
      <c r="E100" s="628"/>
      <c r="F100" s="628"/>
      <c r="G100" s="628"/>
      <c r="H100" s="628"/>
      <c r="I100" s="627">
        <f t="shared" si="16"/>
        <v>85200000</v>
      </c>
      <c r="J100" s="627">
        <f t="shared" si="17"/>
        <v>20022000</v>
      </c>
      <c r="K100" s="627">
        <f t="shared" si="10"/>
        <v>105222000</v>
      </c>
      <c r="L100" s="628"/>
      <c r="M100" s="628"/>
      <c r="N100" s="627">
        <f t="shared" si="21"/>
        <v>105222000</v>
      </c>
      <c r="O100" s="629"/>
      <c r="P100" s="630"/>
      <c r="Q100" s="629">
        <f t="shared" si="20"/>
        <v>105222000</v>
      </c>
    </row>
    <row r="101" spans="1:17" s="28" customFormat="1" ht="19.899999999999999" customHeight="1" x14ac:dyDescent="0.3">
      <c r="A101" s="622">
        <v>40</v>
      </c>
      <c r="B101" s="623" t="s">
        <v>164</v>
      </c>
      <c r="C101" s="628">
        <v>8000000</v>
      </c>
      <c r="D101" s="628"/>
      <c r="E101" s="628"/>
      <c r="F101" s="628"/>
      <c r="G101" s="628"/>
      <c r="H101" s="628"/>
      <c r="I101" s="627">
        <f t="shared" si="16"/>
        <v>96000000</v>
      </c>
      <c r="J101" s="627">
        <f t="shared" si="17"/>
        <v>22560000</v>
      </c>
      <c r="K101" s="627">
        <f t="shared" si="10"/>
        <v>118560000</v>
      </c>
      <c r="L101" s="628"/>
      <c r="M101" s="628"/>
      <c r="N101" s="627">
        <f t="shared" si="21"/>
        <v>118560000</v>
      </c>
      <c r="O101" s="629"/>
      <c r="P101" s="630"/>
      <c r="Q101" s="629">
        <f t="shared" si="20"/>
        <v>118560000</v>
      </c>
    </row>
    <row r="102" spans="1:17" s="28" customFormat="1" ht="19.899999999999999" customHeight="1" x14ac:dyDescent="0.3">
      <c r="A102" s="622">
        <v>41</v>
      </c>
      <c r="B102" s="623" t="s">
        <v>165</v>
      </c>
      <c r="C102" s="628">
        <v>7400000</v>
      </c>
      <c r="D102" s="636"/>
      <c r="E102" s="628"/>
      <c r="F102" s="628"/>
      <c r="G102" s="628"/>
      <c r="H102" s="628"/>
      <c r="I102" s="627">
        <f t="shared" si="16"/>
        <v>88800000</v>
      </c>
      <c r="J102" s="627">
        <f t="shared" si="17"/>
        <v>20868000</v>
      </c>
      <c r="K102" s="627">
        <f t="shared" si="10"/>
        <v>109668000</v>
      </c>
      <c r="L102" s="628"/>
      <c r="M102" s="628"/>
      <c r="N102" s="627">
        <f t="shared" si="21"/>
        <v>109668000</v>
      </c>
      <c r="O102" s="629"/>
      <c r="P102" s="630"/>
      <c r="Q102" s="629">
        <f t="shared" si="20"/>
        <v>109668000</v>
      </c>
    </row>
    <row r="103" spans="1:17" s="28" customFormat="1" ht="19.899999999999999" customHeight="1" x14ac:dyDescent="0.3">
      <c r="A103" s="622">
        <v>42</v>
      </c>
      <c r="B103" s="623" t="s">
        <v>166</v>
      </c>
      <c r="C103" s="628">
        <v>5000000</v>
      </c>
      <c r="D103" s="636"/>
      <c r="E103" s="628"/>
      <c r="F103" s="628"/>
      <c r="G103" s="628"/>
      <c r="H103" s="628"/>
      <c r="I103" s="627">
        <f t="shared" si="16"/>
        <v>60000000</v>
      </c>
      <c r="J103" s="627">
        <f t="shared" si="17"/>
        <v>14100000</v>
      </c>
      <c r="K103" s="627">
        <f t="shared" si="10"/>
        <v>74100000</v>
      </c>
      <c r="L103" s="628"/>
      <c r="M103" s="628"/>
      <c r="N103" s="627">
        <f t="shared" si="21"/>
        <v>74100000</v>
      </c>
      <c r="O103" s="629"/>
      <c r="P103" s="630"/>
      <c r="Q103" s="629">
        <f t="shared" si="20"/>
        <v>74100000</v>
      </c>
    </row>
    <row r="104" spans="1:17" s="28" customFormat="1" ht="19.899999999999999" customHeight="1" x14ac:dyDescent="0.3">
      <c r="A104" s="622">
        <v>43</v>
      </c>
      <c r="B104" s="623" t="s">
        <v>167</v>
      </c>
      <c r="C104" s="628">
        <v>6100000</v>
      </c>
      <c r="D104" s="628"/>
      <c r="E104" s="628"/>
      <c r="F104" s="628"/>
      <c r="G104" s="628"/>
      <c r="H104" s="628"/>
      <c r="I104" s="627">
        <f t="shared" si="16"/>
        <v>73200000</v>
      </c>
      <c r="J104" s="627">
        <f t="shared" si="17"/>
        <v>17202000</v>
      </c>
      <c r="K104" s="627">
        <f t="shared" si="10"/>
        <v>90402000</v>
      </c>
      <c r="L104" s="628"/>
      <c r="M104" s="628"/>
      <c r="N104" s="627">
        <f t="shared" si="21"/>
        <v>90402000</v>
      </c>
      <c r="O104" s="629"/>
      <c r="P104" s="630"/>
      <c r="Q104" s="629">
        <f t="shared" si="20"/>
        <v>90402000</v>
      </c>
    </row>
    <row r="105" spans="1:17" s="28" customFormat="1" ht="19.899999999999999" customHeight="1" x14ac:dyDescent="0.3">
      <c r="A105" s="622">
        <v>44</v>
      </c>
      <c r="B105" s="623" t="s">
        <v>168</v>
      </c>
      <c r="C105" s="628">
        <v>5700000</v>
      </c>
      <c r="D105" s="628"/>
      <c r="E105" s="628"/>
      <c r="F105" s="628"/>
      <c r="G105" s="628"/>
      <c r="H105" s="628"/>
      <c r="I105" s="627">
        <f t="shared" si="16"/>
        <v>68400000</v>
      </c>
      <c r="J105" s="627">
        <f t="shared" si="17"/>
        <v>16074000</v>
      </c>
      <c r="K105" s="627">
        <f t="shared" si="10"/>
        <v>84474000</v>
      </c>
      <c r="L105" s="628"/>
      <c r="M105" s="628"/>
      <c r="N105" s="627">
        <f t="shared" si="21"/>
        <v>84474000</v>
      </c>
      <c r="O105" s="629"/>
      <c r="P105" s="630"/>
      <c r="Q105" s="629">
        <f t="shared" si="20"/>
        <v>84474000</v>
      </c>
    </row>
    <row r="106" spans="1:17" s="28" customFormat="1" ht="19.899999999999999" customHeight="1" x14ac:dyDescent="0.3">
      <c r="A106" s="622">
        <v>45</v>
      </c>
      <c r="B106" s="623" t="s">
        <v>169</v>
      </c>
      <c r="C106" s="628">
        <v>8700000</v>
      </c>
      <c r="D106" s="628"/>
      <c r="E106" s="628"/>
      <c r="F106" s="628"/>
      <c r="G106" s="628"/>
      <c r="H106" s="628"/>
      <c r="I106" s="627">
        <f t="shared" si="16"/>
        <v>104400000</v>
      </c>
      <c r="J106" s="627">
        <f t="shared" si="17"/>
        <v>24534000</v>
      </c>
      <c r="K106" s="627">
        <f t="shared" si="10"/>
        <v>128934000</v>
      </c>
      <c r="L106" s="628"/>
      <c r="M106" s="628"/>
      <c r="N106" s="627">
        <f t="shared" si="21"/>
        <v>128934000</v>
      </c>
      <c r="O106" s="629"/>
      <c r="P106" s="630"/>
      <c r="Q106" s="629">
        <f t="shared" si="20"/>
        <v>128934000</v>
      </c>
    </row>
    <row r="107" spans="1:17" s="28" customFormat="1" ht="19.899999999999999" customHeight="1" x14ac:dyDescent="0.3">
      <c r="A107" s="622">
        <v>46</v>
      </c>
      <c r="B107" s="623" t="s">
        <v>170</v>
      </c>
      <c r="C107" s="628">
        <v>7950000</v>
      </c>
      <c r="D107" s="628"/>
      <c r="E107" s="628"/>
      <c r="F107" s="628"/>
      <c r="G107" s="628"/>
      <c r="H107" s="628"/>
      <c r="I107" s="627">
        <f t="shared" si="16"/>
        <v>95400000</v>
      </c>
      <c r="J107" s="627">
        <f t="shared" si="17"/>
        <v>22419000</v>
      </c>
      <c r="K107" s="627">
        <f t="shared" si="10"/>
        <v>117819000</v>
      </c>
      <c r="L107" s="628"/>
      <c r="M107" s="628">
        <v>450000</v>
      </c>
      <c r="N107" s="627">
        <f t="shared" si="21"/>
        <v>118269000</v>
      </c>
      <c r="O107" s="630"/>
      <c r="P107" s="629">
        <f t="shared" ref="P107:P115" si="22">N107</f>
        <v>118269000</v>
      </c>
      <c r="Q107" s="630"/>
    </row>
    <row r="108" spans="1:17" s="28" customFormat="1" ht="19.899999999999999" customHeight="1" x14ac:dyDescent="0.3">
      <c r="A108" s="622">
        <v>47</v>
      </c>
      <c r="B108" s="623" t="s">
        <v>171</v>
      </c>
      <c r="C108" s="628">
        <v>7950000</v>
      </c>
      <c r="D108" s="628"/>
      <c r="E108" s="628"/>
      <c r="F108" s="628"/>
      <c r="G108" s="628"/>
      <c r="H108" s="628"/>
      <c r="I108" s="627">
        <f t="shared" si="16"/>
        <v>95400000</v>
      </c>
      <c r="J108" s="627">
        <f t="shared" si="17"/>
        <v>22419000</v>
      </c>
      <c r="K108" s="627">
        <f t="shared" si="10"/>
        <v>117819000</v>
      </c>
      <c r="L108" s="628"/>
      <c r="M108" s="628">
        <v>450000</v>
      </c>
      <c r="N108" s="627">
        <f t="shared" si="21"/>
        <v>118269000</v>
      </c>
      <c r="O108" s="630"/>
      <c r="P108" s="629">
        <f t="shared" si="22"/>
        <v>118269000</v>
      </c>
      <c r="Q108" s="630"/>
    </row>
    <row r="109" spans="1:17" s="28" customFormat="1" ht="19.899999999999999" customHeight="1" x14ac:dyDescent="0.3">
      <c r="A109" s="622">
        <v>48</v>
      </c>
      <c r="B109" s="623" t="s">
        <v>172</v>
      </c>
      <c r="C109" s="628">
        <v>7950000</v>
      </c>
      <c r="D109" s="628"/>
      <c r="E109" s="628"/>
      <c r="F109" s="628"/>
      <c r="G109" s="628"/>
      <c r="H109" s="628"/>
      <c r="I109" s="627">
        <f t="shared" si="16"/>
        <v>95400000</v>
      </c>
      <c r="J109" s="627">
        <f t="shared" si="17"/>
        <v>22419000</v>
      </c>
      <c r="K109" s="627">
        <f t="shared" si="10"/>
        <v>117819000</v>
      </c>
      <c r="L109" s="628"/>
      <c r="M109" s="628">
        <v>450000</v>
      </c>
      <c r="N109" s="627">
        <f t="shared" si="21"/>
        <v>118269000</v>
      </c>
      <c r="O109" s="630"/>
      <c r="P109" s="629">
        <f t="shared" si="22"/>
        <v>118269000</v>
      </c>
      <c r="Q109" s="630"/>
    </row>
    <row r="110" spans="1:17" s="28" customFormat="1" ht="19.899999999999999" customHeight="1" x14ac:dyDescent="0.3">
      <c r="A110" s="622">
        <v>49</v>
      </c>
      <c r="B110" s="623" t="s">
        <v>173</v>
      </c>
      <c r="C110" s="628">
        <v>7950000</v>
      </c>
      <c r="D110" s="636"/>
      <c r="E110" s="628"/>
      <c r="F110" s="628"/>
      <c r="G110" s="628"/>
      <c r="H110" s="628"/>
      <c r="I110" s="627">
        <f t="shared" si="16"/>
        <v>95400000</v>
      </c>
      <c r="J110" s="627">
        <f t="shared" si="17"/>
        <v>22419000</v>
      </c>
      <c r="K110" s="627">
        <f t="shared" si="10"/>
        <v>117819000</v>
      </c>
      <c r="L110" s="628"/>
      <c r="M110" s="628">
        <v>450000</v>
      </c>
      <c r="N110" s="627">
        <f t="shared" si="21"/>
        <v>118269000</v>
      </c>
      <c r="O110" s="630"/>
      <c r="P110" s="629">
        <f t="shared" si="22"/>
        <v>118269000</v>
      </c>
      <c r="Q110" s="630"/>
    </row>
    <row r="111" spans="1:17" s="28" customFormat="1" ht="19.899999999999999" customHeight="1" x14ac:dyDescent="0.3">
      <c r="A111" s="622">
        <v>50</v>
      </c>
      <c r="B111" s="623" t="s">
        <v>174</v>
      </c>
      <c r="C111" s="628">
        <v>7950000</v>
      </c>
      <c r="D111" s="636"/>
      <c r="E111" s="628"/>
      <c r="F111" s="628"/>
      <c r="G111" s="628"/>
      <c r="H111" s="628"/>
      <c r="I111" s="627">
        <f t="shared" si="16"/>
        <v>95400000</v>
      </c>
      <c r="J111" s="627">
        <f t="shared" si="17"/>
        <v>22419000</v>
      </c>
      <c r="K111" s="627">
        <f t="shared" ref="K111:K152" si="23">J111+I111</f>
        <v>117819000</v>
      </c>
      <c r="L111" s="628"/>
      <c r="M111" s="628">
        <v>450000</v>
      </c>
      <c r="N111" s="627">
        <f t="shared" si="21"/>
        <v>118269000</v>
      </c>
      <c r="O111" s="630"/>
      <c r="P111" s="629">
        <f t="shared" si="22"/>
        <v>118269000</v>
      </c>
      <c r="Q111" s="630"/>
    </row>
    <row r="112" spans="1:17" s="28" customFormat="1" ht="19.899999999999999" customHeight="1" x14ac:dyDescent="0.3">
      <c r="A112" s="622">
        <v>51</v>
      </c>
      <c r="B112" s="623" t="s">
        <v>175</v>
      </c>
      <c r="C112" s="628">
        <v>7950000</v>
      </c>
      <c r="D112" s="628"/>
      <c r="E112" s="628"/>
      <c r="F112" s="628"/>
      <c r="G112" s="628"/>
      <c r="H112" s="628"/>
      <c r="I112" s="627">
        <f t="shared" si="16"/>
        <v>95400000</v>
      </c>
      <c r="J112" s="627">
        <f t="shared" si="17"/>
        <v>22419000</v>
      </c>
      <c r="K112" s="627">
        <f t="shared" si="23"/>
        <v>117819000</v>
      </c>
      <c r="L112" s="628"/>
      <c r="M112" s="628">
        <v>450000</v>
      </c>
      <c r="N112" s="627">
        <f t="shared" si="21"/>
        <v>118269000</v>
      </c>
      <c r="O112" s="630"/>
      <c r="P112" s="629">
        <f t="shared" si="22"/>
        <v>118269000</v>
      </c>
      <c r="Q112" s="630"/>
    </row>
    <row r="113" spans="1:17" s="28" customFormat="1" ht="19.899999999999999" customHeight="1" x14ac:dyDescent="0.3">
      <c r="A113" s="622">
        <v>52</v>
      </c>
      <c r="B113" s="623" t="s">
        <v>176</v>
      </c>
      <c r="C113" s="628">
        <v>7950000</v>
      </c>
      <c r="D113" s="628"/>
      <c r="E113" s="628"/>
      <c r="F113" s="628"/>
      <c r="G113" s="628"/>
      <c r="H113" s="628"/>
      <c r="I113" s="627">
        <f t="shared" si="16"/>
        <v>95400000</v>
      </c>
      <c r="J113" s="627">
        <f t="shared" si="17"/>
        <v>22419000</v>
      </c>
      <c r="K113" s="627">
        <f t="shared" si="23"/>
        <v>117819000</v>
      </c>
      <c r="L113" s="628"/>
      <c r="M113" s="628">
        <v>450000</v>
      </c>
      <c r="N113" s="627">
        <f t="shared" si="21"/>
        <v>118269000</v>
      </c>
      <c r="O113" s="630"/>
      <c r="P113" s="629">
        <f t="shared" si="22"/>
        <v>118269000</v>
      </c>
      <c r="Q113" s="630"/>
    </row>
    <row r="114" spans="1:17" s="28" customFormat="1" ht="19.899999999999999" customHeight="1" x14ac:dyDescent="0.3">
      <c r="A114" s="622">
        <v>53</v>
      </c>
      <c r="B114" s="623" t="s">
        <v>177</v>
      </c>
      <c r="C114" s="628">
        <v>7950000</v>
      </c>
      <c r="D114" s="628"/>
      <c r="E114" s="628"/>
      <c r="F114" s="628"/>
      <c r="G114" s="628"/>
      <c r="H114" s="628"/>
      <c r="I114" s="627">
        <f t="shared" si="16"/>
        <v>95400000</v>
      </c>
      <c r="J114" s="627">
        <f t="shared" si="17"/>
        <v>22419000</v>
      </c>
      <c r="K114" s="627">
        <f t="shared" si="23"/>
        <v>117819000</v>
      </c>
      <c r="L114" s="628"/>
      <c r="M114" s="628">
        <v>450000</v>
      </c>
      <c r="N114" s="627">
        <f t="shared" si="21"/>
        <v>118269000</v>
      </c>
      <c r="O114" s="630"/>
      <c r="P114" s="629">
        <f t="shared" si="22"/>
        <v>118269000</v>
      </c>
      <c r="Q114" s="630"/>
    </row>
    <row r="115" spans="1:17" s="28" customFormat="1" ht="19.899999999999999" customHeight="1" x14ac:dyDescent="0.3">
      <c r="A115" s="622">
        <v>54</v>
      </c>
      <c r="B115" s="623" t="s">
        <v>178</v>
      </c>
      <c r="C115" s="628">
        <v>7950000</v>
      </c>
      <c r="D115" s="628"/>
      <c r="E115" s="628"/>
      <c r="F115" s="628"/>
      <c r="G115" s="628"/>
      <c r="H115" s="628"/>
      <c r="I115" s="627">
        <f t="shared" si="16"/>
        <v>95400000</v>
      </c>
      <c r="J115" s="627">
        <f t="shared" si="17"/>
        <v>22419000</v>
      </c>
      <c r="K115" s="627">
        <f t="shared" si="23"/>
        <v>117819000</v>
      </c>
      <c r="L115" s="628"/>
      <c r="M115" s="628">
        <v>450000</v>
      </c>
      <c r="N115" s="627">
        <f t="shared" si="21"/>
        <v>118269000</v>
      </c>
      <c r="O115" s="630"/>
      <c r="P115" s="629">
        <f t="shared" si="22"/>
        <v>118269000</v>
      </c>
      <c r="Q115" s="630"/>
    </row>
    <row r="116" spans="1:17" s="28" customFormat="1" ht="19.899999999999999" customHeight="1" x14ac:dyDescent="0.3">
      <c r="A116" s="622">
        <v>55</v>
      </c>
      <c r="B116" s="623" t="s">
        <v>179</v>
      </c>
      <c r="C116" s="628">
        <v>5975000</v>
      </c>
      <c r="D116" s="628"/>
      <c r="E116" s="628"/>
      <c r="F116" s="628"/>
      <c r="G116" s="628"/>
      <c r="H116" s="628"/>
      <c r="I116" s="627">
        <f t="shared" si="16"/>
        <v>71700000</v>
      </c>
      <c r="J116" s="627">
        <f t="shared" si="17"/>
        <v>16849500</v>
      </c>
      <c r="K116" s="627">
        <f t="shared" si="23"/>
        <v>88549500</v>
      </c>
      <c r="L116" s="628"/>
      <c r="M116" s="628"/>
      <c r="N116" s="627">
        <f t="shared" si="21"/>
        <v>88549500</v>
      </c>
      <c r="O116" s="629">
        <f>N116</f>
        <v>88549500</v>
      </c>
      <c r="P116" s="629"/>
      <c r="Q116" s="630"/>
    </row>
    <row r="117" spans="1:17" s="28" customFormat="1" ht="31.5" customHeight="1" x14ac:dyDescent="0.3">
      <c r="A117" s="622">
        <v>56</v>
      </c>
      <c r="B117" s="623" t="s">
        <v>180</v>
      </c>
      <c r="C117" s="628">
        <v>4730000</v>
      </c>
      <c r="D117" s="628"/>
      <c r="E117" s="628"/>
      <c r="F117" s="628"/>
      <c r="G117" s="628"/>
      <c r="H117" s="628"/>
      <c r="I117" s="627">
        <f t="shared" si="16"/>
        <v>56760000</v>
      </c>
      <c r="J117" s="627">
        <f t="shared" si="17"/>
        <v>13338600</v>
      </c>
      <c r="K117" s="627">
        <f t="shared" si="23"/>
        <v>70098600</v>
      </c>
      <c r="L117" s="628"/>
      <c r="M117" s="628"/>
      <c r="N117" s="627">
        <f t="shared" si="21"/>
        <v>70098600</v>
      </c>
      <c r="O117" s="629">
        <f t="shared" ref="O117" si="24">N117</f>
        <v>70098600</v>
      </c>
      <c r="P117" s="629"/>
      <c r="Q117" s="630"/>
    </row>
    <row r="118" spans="1:17" s="27" customFormat="1" ht="19.899999999999999" customHeight="1" x14ac:dyDescent="0.3">
      <c r="A118" s="617" t="s">
        <v>3</v>
      </c>
      <c r="B118" s="618" t="s">
        <v>181</v>
      </c>
      <c r="C118" s="621">
        <f t="shared" ref="C118:G118" si="25">SUBTOTAL(9,C119:C152)</f>
        <v>123300000</v>
      </c>
      <c r="D118" s="621">
        <f t="shared" si="25"/>
        <v>0</v>
      </c>
      <c r="E118" s="621">
        <f t="shared" si="25"/>
        <v>0</v>
      </c>
      <c r="F118" s="621">
        <f t="shared" si="25"/>
        <v>0</v>
      </c>
      <c r="G118" s="621">
        <f t="shared" si="25"/>
        <v>0</v>
      </c>
      <c r="H118" s="621"/>
      <c r="I118" s="639">
        <f>SUBTOTAL(9,I119:I152)</f>
        <v>1479600000</v>
      </c>
      <c r="J118" s="640">
        <f t="shared" ref="J118:M118" si="26">SUBTOTAL(9,J119:J152)</f>
        <v>0</v>
      </c>
      <c r="K118" s="639">
        <f t="shared" si="26"/>
        <v>1479600000</v>
      </c>
      <c r="L118" s="640">
        <f t="shared" si="26"/>
        <v>0</v>
      </c>
      <c r="M118" s="640">
        <f t="shared" si="26"/>
        <v>0</v>
      </c>
      <c r="N118" s="639">
        <f>SUM(N119:N152)</f>
        <v>1479600000</v>
      </c>
      <c r="O118" s="639">
        <f>SUM(O119:O152)</f>
        <v>632400000</v>
      </c>
      <c r="P118" s="639">
        <f t="shared" ref="P118:Q118" si="27">SUM(P119:P152)</f>
        <v>588000000</v>
      </c>
      <c r="Q118" s="639">
        <f t="shared" si="27"/>
        <v>259200000</v>
      </c>
    </row>
    <row r="119" spans="1:17" s="28" customFormat="1" ht="19.899999999999999" customHeight="1" x14ac:dyDescent="0.3">
      <c r="A119" s="622">
        <v>1</v>
      </c>
      <c r="B119" s="641" t="s">
        <v>182</v>
      </c>
      <c r="C119" s="642">
        <v>3100000</v>
      </c>
      <c r="D119" s="628"/>
      <c r="E119" s="628"/>
      <c r="F119" s="628"/>
      <c r="G119" s="628"/>
      <c r="H119" s="628"/>
      <c r="I119" s="628">
        <f t="shared" ref="I119:I152" si="28">(C119+D119)*12+ (L119+M119)*12</f>
        <v>37200000</v>
      </c>
      <c r="J119" s="628"/>
      <c r="K119" s="627">
        <f t="shared" si="23"/>
        <v>37200000</v>
      </c>
      <c r="L119" s="628"/>
      <c r="M119" s="628"/>
      <c r="N119" s="627">
        <f t="shared" ref="N119:N152" si="29">SUM(K119:M119)</f>
        <v>37200000</v>
      </c>
      <c r="O119" s="629">
        <f t="shared" ref="O119:O127" si="30">N119</f>
        <v>37200000</v>
      </c>
      <c r="P119" s="629"/>
      <c r="Q119" s="630"/>
    </row>
    <row r="120" spans="1:17" s="28" customFormat="1" ht="19.899999999999999" customHeight="1" x14ac:dyDescent="0.3">
      <c r="A120" s="622">
        <v>2</v>
      </c>
      <c r="B120" s="641" t="s">
        <v>183</v>
      </c>
      <c r="C120" s="642">
        <v>3100000</v>
      </c>
      <c r="D120" s="622"/>
      <c r="E120" s="626"/>
      <c r="F120" s="626"/>
      <c r="G120" s="626"/>
      <c r="H120" s="626"/>
      <c r="I120" s="628">
        <f t="shared" si="28"/>
        <v>37200000</v>
      </c>
      <c r="J120" s="627"/>
      <c r="K120" s="627">
        <f t="shared" si="23"/>
        <v>37200000</v>
      </c>
      <c r="L120" s="626"/>
      <c r="M120" s="628"/>
      <c r="N120" s="627">
        <f t="shared" si="29"/>
        <v>37200000</v>
      </c>
      <c r="O120" s="629">
        <f t="shared" si="30"/>
        <v>37200000</v>
      </c>
      <c r="P120" s="629"/>
      <c r="Q120" s="630"/>
    </row>
    <row r="121" spans="1:17" s="28" customFormat="1" ht="19.899999999999999" customHeight="1" x14ac:dyDescent="0.3">
      <c r="A121" s="622">
        <v>3</v>
      </c>
      <c r="B121" s="641" t="s">
        <v>184</v>
      </c>
      <c r="C121" s="642">
        <v>3100000</v>
      </c>
      <c r="D121" s="622"/>
      <c r="E121" s="626"/>
      <c r="F121" s="626"/>
      <c r="G121" s="626"/>
      <c r="H121" s="626"/>
      <c r="I121" s="628">
        <f t="shared" si="28"/>
        <v>37200000</v>
      </c>
      <c r="J121" s="627"/>
      <c r="K121" s="627">
        <f t="shared" si="23"/>
        <v>37200000</v>
      </c>
      <c r="L121" s="626"/>
      <c r="M121" s="628"/>
      <c r="N121" s="627">
        <f t="shared" si="29"/>
        <v>37200000</v>
      </c>
      <c r="O121" s="629">
        <f t="shared" si="30"/>
        <v>37200000</v>
      </c>
      <c r="P121" s="629"/>
      <c r="Q121" s="630"/>
    </row>
    <row r="122" spans="1:17" s="28" customFormat="1" ht="19.899999999999999" customHeight="1" x14ac:dyDescent="0.3">
      <c r="A122" s="622">
        <v>4</v>
      </c>
      <c r="B122" s="641" t="s">
        <v>185</v>
      </c>
      <c r="C122" s="642">
        <v>3100000</v>
      </c>
      <c r="D122" s="622"/>
      <c r="E122" s="626"/>
      <c r="F122" s="626"/>
      <c r="G122" s="626"/>
      <c r="H122" s="626"/>
      <c r="I122" s="628">
        <f t="shared" si="28"/>
        <v>37200000</v>
      </c>
      <c r="J122" s="627"/>
      <c r="K122" s="627">
        <f t="shared" si="23"/>
        <v>37200000</v>
      </c>
      <c r="L122" s="626"/>
      <c r="M122" s="628"/>
      <c r="N122" s="627">
        <f t="shared" si="29"/>
        <v>37200000</v>
      </c>
      <c r="O122" s="629">
        <f t="shared" si="30"/>
        <v>37200000</v>
      </c>
      <c r="P122" s="629"/>
      <c r="Q122" s="630"/>
    </row>
    <row r="123" spans="1:17" s="28" customFormat="1" ht="19.899999999999999" customHeight="1" x14ac:dyDescent="0.3">
      <c r="A123" s="622">
        <v>5</v>
      </c>
      <c r="B123" s="641" t="s">
        <v>186</v>
      </c>
      <c r="C123" s="642">
        <v>3100000</v>
      </c>
      <c r="D123" s="622"/>
      <c r="E123" s="626"/>
      <c r="F123" s="626"/>
      <c r="G123" s="626"/>
      <c r="H123" s="626"/>
      <c r="I123" s="628">
        <f t="shared" si="28"/>
        <v>37200000</v>
      </c>
      <c r="J123" s="627"/>
      <c r="K123" s="627">
        <f t="shared" si="23"/>
        <v>37200000</v>
      </c>
      <c r="L123" s="626"/>
      <c r="M123" s="628"/>
      <c r="N123" s="627">
        <f t="shared" si="29"/>
        <v>37200000</v>
      </c>
      <c r="O123" s="629">
        <f t="shared" si="30"/>
        <v>37200000</v>
      </c>
      <c r="P123" s="629"/>
      <c r="Q123" s="630"/>
    </row>
    <row r="124" spans="1:17" s="28" customFormat="1" ht="19.899999999999999" customHeight="1" x14ac:dyDescent="0.3">
      <c r="A124" s="622">
        <v>6</v>
      </c>
      <c r="B124" s="641" t="s">
        <v>187</v>
      </c>
      <c r="C124" s="642">
        <v>3100000</v>
      </c>
      <c r="D124" s="622"/>
      <c r="E124" s="626"/>
      <c r="F124" s="626"/>
      <c r="G124" s="626"/>
      <c r="H124" s="626"/>
      <c r="I124" s="628">
        <f t="shared" si="28"/>
        <v>37200000</v>
      </c>
      <c r="J124" s="627"/>
      <c r="K124" s="627">
        <f t="shared" si="23"/>
        <v>37200000</v>
      </c>
      <c r="L124" s="626"/>
      <c r="M124" s="628"/>
      <c r="N124" s="627">
        <f t="shared" si="29"/>
        <v>37200000</v>
      </c>
      <c r="O124" s="629">
        <f t="shared" si="30"/>
        <v>37200000</v>
      </c>
      <c r="P124" s="629"/>
      <c r="Q124" s="630"/>
    </row>
    <row r="125" spans="1:17" s="28" customFormat="1" ht="19.899999999999999" customHeight="1" x14ac:dyDescent="0.3">
      <c r="A125" s="622">
        <v>7</v>
      </c>
      <c r="B125" s="641" t="s">
        <v>188</v>
      </c>
      <c r="C125" s="642">
        <v>3100000</v>
      </c>
      <c r="D125" s="622"/>
      <c r="E125" s="626"/>
      <c r="F125" s="626"/>
      <c r="G125" s="626"/>
      <c r="H125" s="626"/>
      <c r="I125" s="628">
        <f t="shared" si="28"/>
        <v>37200000</v>
      </c>
      <c r="J125" s="627"/>
      <c r="K125" s="627">
        <f t="shared" si="23"/>
        <v>37200000</v>
      </c>
      <c r="L125" s="626"/>
      <c r="M125" s="628"/>
      <c r="N125" s="627">
        <f t="shared" si="29"/>
        <v>37200000</v>
      </c>
      <c r="O125" s="629">
        <f t="shared" si="30"/>
        <v>37200000</v>
      </c>
      <c r="P125" s="629"/>
      <c r="Q125" s="630"/>
    </row>
    <row r="126" spans="1:17" s="28" customFormat="1" ht="19.899999999999999" customHeight="1" x14ac:dyDescent="0.3">
      <c r="A126" s="622">
        <v>8</v>
      </c>
      <c r="B126" s="641" t="s">
        <v>189</v>
      </c>
      <c r="C126" s="642">
        <v>3100000</v>
      </c>
      <c r="D126" s="622"/>
      <c r="E126" s="626"/>
      <c r="F126" s="626"/>
      <c r="G126" s="626"/>
      <c r="H126" s="626"/>
      <c r="I126" s="628">
        <f t="shared" si="28"/>
        <v>37200000</v>
      </c>
      <c r="J126" s="627"/>
      <c r="K126" s="627">
        <f t="shared" si="23"/>
        <v>37200000</v>
      </c>
      <c r="L126" s="626"/>
      <c r="M126" s="628"/>
      <c r="N126" s="627">
        <f t="shared" si="29"/>
        <v>37200000</v>
      </c>
      <c r="O126" s="629">
        <f t="shared" si="30"/>
        <v>37200000</v>
      </c>
      <c r="P126" s="629"/>
      <c r="Q126" s="630"/>
    </row>
    <row r="127" spans="1:17" s="28" customFormat="1" ht="19.899999999999999" customHeight="1" x14ac:dyDescent="0.3">
      <c r="A127" s="622">
        <v>9</v>
      </c>
      <c r="B127" s="641" t="s">
        <v>190</v>
      </c>
      <c r="C127" s="642">
        <v>3100000</v>
      </c>
      <c r="D127" s="622"/>
      <c r="E127" s="626"/>
      <c r="F127" s="626"/>
      <c r="G127" s="626"/>
      <c r="H127" s="626"/>
      <c r="I127" s="628">
        <f t="shared" si="28"/>
        <v>37200000</v>
      </c>
      <c r="J127" s="627"/>
      <c r="K127" s="627">
        <f t="shared" si="23"/>
        <v>37200000</v>
      </c>
      <c r="L127" s="626"/>
      <c r="M127" s="628"/>
      <c r="N127" s="627">
        <f t="shared" si="29"/>
        <v>37200000</v>
      </c>
      <c r="O127" s="629">
        <f t="shared" si="30"/>
        <v>37200000</v>
      </c>
      <c r="P127" s="629"/>
      <c r="Q127" s="630"/>
    </row>
    <row r="128" spans="1:17" s="28" customFormat="1" ht="19.899999999999999" customHeight="1" x14ac:dyDescent="0.3">
      <c r="A128" s="622">
        <v>10</v>
      </c>
      <c r="B128" s="641" t="s">
        <v>191</v>
      </c>
      <c r="C128" s="642">
        <v>3100000</v>
      </c>
      <c r="D128" s="622"/>
      <c r="E128" s="626"/>
      <c r="F128" s="626"/>
      <c r="G128" s="626"/>
      <c r="H128" s="626"/>
      <c r="I128" s="628">
        <f t="shared" si="28"/>
        <v>37200000</v>
      </c>
      <c r="J128" s="627"/>
      <c r="K128" s="627">
        <f t="shared" si="23"/>
        <v>37200000</v>
      </c>
      <c r="L128" s="626"/>
      <c r="M128" s="628"/>
      <c r="N128" s="627">
        <f t="shared" si="29"/>
        <v>37200000</v>
      </c>
      <c r="O128" s="629"/>
      <c r="P128" s="629"/>
      <c r="Q128" s="629">
        <f>N128</f>
        <v>37200000</v>
      </c>
    </row>
    <row r="129" spans="1:17" s="28" customFormat="1" ht="19.899999999999999" customHeight="1" x14ac:dyDescent="0.3">
      <c r="A129" s="622">
        <v>11</v>
      </c>
      <c r="B129" s="643" t="s">
        <v>192</v>
      </c>
      <c r="C129" s="642">
        <v>3100000</v>
      </c>
      <c r="D129" s="622"/>
      <c r="E129" s="626"/>
      <c r="F129" s="626"/>
      <c r="G129" s="626"/>
      <c r="H129" s="626"/>
      <c r="I129" s="628">
        <f t="shared" si="28"/>
        <v>37200000</v>
      </c>
      <c r="J129" s="627"/>
      <c r="K129" s="627">
        <f t="shared" si="23"/>
        <v>37200000</v>
      </c>
      <c r="L129" s="626"/>
      <c r="M129" s="628"/>
      <c r="N129" s="627">
        <f t="shared" si="29"/>
        <v>37200000</v>
      </c>
      <c r="O129" s="629">
        <f t="shared" ref="O129:O136" si="31">N129</f>
        <v>37200000</v>
      </c>
      <c r="P129" s="630"/>
      <c r="Q129" s="630"/>
    </row>
    <row r="130" spans="1:17" s="28" customFormat="1" ht="19.899999999999999" customHeight="1" x14ac:dyDescent="0.3">
      <c r="A130" s="622">
        <v>12</v>
      </c>
      <c r="B130" s="643" t="s">
        <v>193</v>
      </c>
      <c r="C130" s="642">
        <v>3100000</v>
      </c>
      <c r="D130" s="622"/>
      <c r="E130" s="626"/>
      <c r="F130" s="626"/>
      <c r="G130" s="626"/>
      <c r="H130" s="626"/>
      <c r="I130" s="628">
        <f t="shared" si="28"/>
        <v>37200000</v>
      </c>
      <c r="J130" s="627"/>
      <c r="K130" s="627">
        <f t="shared" si="23"/>
        <v>37200000</v>
      </c>
      <c r="L130" s="626"/>
      <c r="M130" s="628"/>
      <c r="N130" s="627">
        <f t="shared" si="29"/>
        <v>37200000</v>
      </c>
      <c r="O130" s="629">
        <f t="shared" si="31"/>
        <v>37200000</v>
      </c>
      <c r="P130" s="630"/>
      <c r="Q130" s="630"/>
    </row>
    <row r="131" spans="1:17" s="28" customFormat="1" ht="19.899999999999999" customHeight="1" x14ac:dyDescent="0.3">
      <c r="A131" s="622">
        <v>13</v>
      </c>
      <c r="B131" s="643" t="s">
        <v>194</v>
      </c>
      <c r="C131" s="642">
        <v>3100000</v>
      </c>
      <c r="D131" s="622"/>
      <c r="E131" s="626"/>
      <c r="F131" s="626"/>
      <c r="G131" s="626"/>
      <c r="H131" s="626"/>
      <c r="I131" s="628">
        <f t="shared" si="28"/>
        <v>37200000</v>
      </c>
      <c r="J131" s="627"/>
      <c r="K131" s="627">
        <f t="shared" si="23"/>
        <v>37200000</v>
      </c>
      <c r="L131" s="626"/>
      <c r="M131" s="628"/>
      <c r="N131" s="627">
        <f t="shared" si="29"/>
        <v>37200000</v>
      </c>
      <c r="O131" s="629">
        <f t="shared" si="31"/>
        <v>37200000</v>
      </c>
      <c r="P131" s="630"/>
      <c r="Q131" s="630"/>
    </row>
    <row r="132" spans="1:17" s="28" customFormat="1" ht="19.899999999999999" customHeight="1" x14ac:dyDescent="0.3">
      <c r="A132" s="622">
        <v>14</v>
      </c>
      <c r="B132" s="643" t="s">
        <v>195</v>
      </c>
      <c r="C132" s="642">
        <v>3100000</v>
      </c>
      <c r="D132" s="622"/>
      <c r="E132" s="626"/>
      <c r="F132" s="626"/>
      <c r="G132" s="626"/>
      <c r="H132" s="626"/>
      <c r="I132" s="628">
        <f t="shared" si="28"/>
        <v>37200000</v>
      </c>
      <c r="J132" s="627"/>
      <c r="K132" s="627">
        <f t="shared" si="23"/>
        <v>37200000</v>
      </c>
      <c r="L132" s="626"/>
      <c r="M132" s="628"/>
      <c r="N132" s="627">
        <f t="shared" si="29"/>
        <v>37200000</v>
      </c>
      <c r="O132" s="629">
        <f t="shared" si="31"/>
        <v>37200000</v>
      </c>
      <c r="P132" s="630"/>
      <c r="Q132" s="630"/>
    </row>
    <row r="133" spans="1:17" s="28" customFormat="1" ht="19.899999999999999" customHeight="1" x14ac:dyDescent="0.3">
      <c r="A133" s="622">
        <v>15</v>
      </c>
      <c r="B133" s="643" t="s">
        <v>196</v>
      </c>
      <c r="C133" s="642">
        <v>3100000</v>
      </c>
      <c r="D133" s="622"/>
      <c r="E133" s="626"/>
      <c r="F133" s="626"/>
      <c r="G133" s="626"/>
      <c r="H133" s="626"/>
      <c r="I133" s="628">
        <f t="shared" si="28"/>
        <v>37200000</v>
      </c>
      <c r="J133" s="627"/>
      <c r="K133" s="627">
        <f t="shared" si="23"/>
        <v>37200000</v>
      </c>
      <c r="L133" s="626"/>
      <c r="M133" s="628"/>
      <c r="N133" s="627">
        <f t="shared" si="29"/>
        <v>37200000</v>
      </c>
      <c r="O133" s="629">
        <f t="shared" si="31"/>
        <v>37200000</v>
      </c>
      <c r="P133" s="630"/>
      <c r="Q133" s="630"/>
    </row>
    <row r="134" spans="1:17" s="28" customFormat="1" ht="19.899999999999999" customHeight="1" x14ac:dyDescent="0.3">
      <c r="A134" s="622">
        <v>16</v>
      </c>
      <c r="B134" s="643" t="s">
        <v>197</v>
      </c>
      <c r="C134" s="642">
        <v>3100000</v>
      </c>
      <c r="D134" s="622"/>
      <c r="E134" s="626"/>
      <c r="F134" s="626"/>
      <c r="G134" s="626"/>
      <c r="H134" s="626"/>
      <c r="I134" s="628">
        <f t="shared" si="28"/>
        <v>37200000</v>
      </c>
      <c r="J134" s="627"/>
      <c r="K134" s="627">
        <f t="shared" si="23"/>
        <v>37200000</v>
      </c>
      <c r="L134" s="626"/>
      <c r="M134" s="628"/>
      <c r="N134" s="627">
        <f t="shared" si="29"/>
        <v>37200000</v>
      </c>
      <c r="O134" s="629">
        <f t="shared" si="31"/>
        <v>37200000</v>
      </c>
      <c r="P134" s="630"/>
      <c r="Q134" s="630"/>
    </row>
    <row r="135" spans="1:17" s="28" customFormat="1" ht="19.899999999999999" customHeight="1" x14ac:dyDescent="0.3">
      <c r="A135" s="622">
        <v>17</v>
      </c>
      <c r="B135" s="643" t="s">
        <v>198</v>
      </c>
      <c r="C135" s="642">
        <v>3100000</v>
      </c>
      <c r="D135" s="622"/>
      <c r="E135" s="626"/>
      <c r="F135" s="626"/>
      <c r="G135" s="626"/>
      <c r="H135" s="626"/>
      <c r="I135" s="628">
        <f t="shared" si="28"/>
        <v>37200000</v>
      </c>
      <c r="J135" s="627"/>
      <c r="K135" s="627">
        <f t="shared" si="23"/>
        <v>37200000</v>
      </c>
      <c r="L135" s="626"/>
      <c r="M135" s="628"/>
      <c r="N135" s="627">
        <f t="shared" si="29"/>
        <v>37200000</v>
      </c>
      <c r="O135" s="629">
        <f t="shared" si="31"/>
        <v>37200000</v>
      </c>
      <c r="P135" s="630"/>
      <c r="Q135" s="630"/>
    </row>
    <row r="136" spans="1:17" s="28" customFormat="1" ht="19.899999999999999" customHeight="1" x14ac:dyDescent="0.3">
      <c r="A136" s="622">
        <v>18</v>
      </c>
      <c r="B136" s="643" t="s">
        <v>199</v>
      </c>
      <c r="C136" s="642">
        <v>3100000</v>
      </c>
      <c r="D136" s="622"/>
      <c r="E136" s="626"/>
      <c r="F136" s="626"/>
      <c r="G136" s="626"/>
      <c r="H136" s="626"/>
      <c r="I136" s="628">
        <f t="shared" si="28"/>
        <v>37200000</v>
      </c>
      <c r="J136" s="627"/>
      <c r="K136" s="627">
        <f t="shared" si="23"/>
        <v>37200000</v>
      </c>
      <c r="L136" s="626"/>
      <c r="M136" s="628"/>
      <c r="N136" s="627">
        <f t="shared" si="29"/>
        <v>37200000</v>
      </c>
      <c r="O136" s="629">
        <f t="shared" si="31"/>
        <v>37200000</v>
      </c>
      <c r="P136" s="630"/>
      <c r="Q136" s="629"/>
    </row>
    <row r="137" spans="1:17" s="28" customFormat="1" ht="19.899999999999999" customHeight="1" x14ac:dyDescent="0.3">
      <c r="A137" s="622">
        <v>19</v>
      </c>
      <c r="B137" s="643" t="s">
        <v>200</v>
      </c>
      <c r="C137" s="642">
        <v>3500000</v>
      </c>
      <c r="D137" s="622"/>
      <c r="E137" s="626"/>
      <c r="F137" s="626"/>
      <c r="G137" s="626"/>
      <c r="H137" s="626"/>
      <c r="I137" s="628">
        <f t="shared" si="28"/>
        <v>42000000</v>
      </c>
      <c r="J137" s="627"/>
      <c r="K137" s="627">
        <f t="shared" si="23"/>
        <v>42000000</v>
      </c>
      <c r="L137" s="626"/>
      <c r="M137" s="628"/>
      <c r="N137" s="627">
        <f t="shared" si="29"/>
        <v>42000000</v>
      </c>
      <c r="O137" s="630"/>
      <c r="Q137" s="629">
        <f>N137</f>
        <v>42000000</v>
      </c>
    </row>
    <row r="138" spans="1:17" s="28" customFormat="1" ht="19.899999999999999" customHeight="1" x14ac:dyDescent="0.3">
      <c r="A138" s="622">
        <v>20</v>
      </c>
      <c r="B138" s="643" t="s">
        <v>201</v>
      </c>
      <c r="C138" s="642">
        <v>3500000</v>
      </c>
      <c r="D138" s="622"/>
      <c r="E138" s="626"/>
      <c r="F138" s="626"/>
      <c r="G138" s="626"/>
      <c r="H138" s="626"/>
      <c r="I138" s="628">
        <f t="shared" si="28"/>
        <v>42000000</v>
      </c>
      <c r="J138" s="627"/>
      <c r="K138" s="627">
        <f t="shared" si="23"/>
        <v>42000000</v>
      </c>
      <c r="L138" s="626"/>
      <c r="M138" s="628"/>
      <c r="N138" s="627">
        <f t="shared" si="29"/>
        <v>42000000</v>
      </c>
      <c r="O138" s="630"/>
      <c r="P138" s="629"/>
      <c r="Q138" s="629">
        <f>N138</f>
        <v>42000000</v>
      </c>
    </row>
    <row r="139" spans="1:17" s="28" customFormat="1" ht="19.899999999999999" customHeight="1" x14ac:dyDescent="0.3">
      <c r="A139" s="622">
        <v>21</v>
      </c>
      <c r="B139" s="643" t="s">
        <v>202</v>
      </c>
      <c r="C139" s="642">
        <v>3500000</v>
      </c>
      <c r="D139" s="622"/>
      <c r="E139" s="626"/>
      <c r="F139" s="626"/>
      <c r="G139" s="626"/>
      <c r="H139" s="626"/>
      <c r="I139" s="628">
        <f t="shared" si="28"/>
        <v>42000000</v>
      </c>
      <c r="J139" s="627"/>
      <c r="K139" s="627">
        <f t="shared" si="23"/>
        <v>42000000</v>
      </c>
      <c r="L139" s="626"/>
      <c r="M139" s="628"/>
      <c r="N139" s="627">
        <f t="shared" si="29"/>
        <v>42000000</v>
      </c>
      <c r="O139" s="630"/>
      <c r="P139" s="629">
        <f t="shared" ref="P139:P148" si="32">N139</f>
        <v>42000000</v>
      </c>
      <c r="Q139" s="630"/>
    </row>
    <row r="140" spans="1:17" s="28" customFormat="1" ht="19.899999999999999" customHeight="1" x14ac:dyDescent="0.3">
      <c r="A140" s="622">
        <v>22</v>
      </c>
      <c r="B140" s="643" t="s">
        <v>203</v>
      </c>
      <c r="C140" s="642">
        <v>3500000</v>
      </c>
      <c r="D140" s="622"/>
      <c r="E140" s="626"/>
      <c r="F140" s="626"/>
      <c r="G140" s="626"/>
      <c r="H140" s="626"/>
      <c r="I140" s="628">
        <f t="shared" si="28"/>
        <v>42000000</v>
      </c>
      <c r="J140" s="627"/>
      <c r="K140" s="627">
        <f t="shared" si="23"/>
        <v>42000000</v>
      </c>
      <c r="L140" s="626"/>
      <c r="M140" s="628"/>
      <c r="N140" s="627">
        <f t="shared" si="29"/>
        <v>42000000</v>
      </c>
      <c r="O140" s="630"/>
      <c r="P140" s="629"/>
      <c r="Q140" s="629">
        <v>42000000</v>
      </c>
    </row>
    <row r="141" spans="1:17" s="28" customFormat="1" ht="19.899999999999999" customHeight="1" x14ac:dyDescent="0.3">
      <c r="A141" s="622">
        <v>23</v>
      </c>
      <c r="B141" s="643" t="s">
        <v>204</v>
      </c>
      <c r="C141" s="642">
        <v>3500000</v>
      </c>
      <c r="D141" s="622"/>
      <c r="E141" s="626"/>
      <c r="F141" s="626"/>
      <c r="G141" s="626"/>
      <c r="H141" s="626"/>
      <c r="I141" s="628">
        <f t="shared" si="28"/>
        <v>42000000</v>
      </c>
      <c r="J141" s="627"/>
      <c r="K141" s="627">
        <f t="shared" si="23"/>
        <v>42000000</v>
      </c>
      <c r="L141" s="626"/>
      <c r="M141" s="628"/>
      <c r="N141" s="627">
        <f t="shared" si="29"/>
        <v>42000000</v>
      </c>
      <c r="O141" s="630"/>
      <c r="P141" s="629">
        <f t="shared" si="32"/>
        <v>42000000</v>
      </c>
      <c r="Q141" s="630"/>
    </row>
    <row r="142" spans="1:17" s="28" customFormat="1" ht="19.899999999999999" customHeight="1" x14ac:dyDescent="0.3">
      <c r="A142" s="622">
        <v>24</v>
      </c>
      <c r="B142" s="643" t="s">
        <v>205</v>
      </c>
      <c r="C142" s="642">
        <v>3500000</v>
      </c>
      <c r="D142" s="622"/>
      <c r="E142" s="626"/>
      <c r="F142" s="626"/>
      <c r="G142" s="626"/>
      <c r="H142" s="626"/>
      <c r="I142" s="628">
        <f t="shared" si="28"/>
        <v>42000000</v>
      </c>
      <c r="J142" s="627"/>
      <c r="K142" s="627">
        <f t="shared" si="23"/>
        <v>42000000</v>
      </c>
      <c r="L142" s="626"/>
      <c r="M142" s="628"/>
      <c r="N142" s="627">
        <f t="shared" si="29"/>
        <v>42000000</v>
      </c>
      <c r="O142" s="630"/>
      <c r="P142" s="629">
        <f t="shared" si="32"/>
        <v>42000000</v>
      </c>
      <c r="Q142" s="630"/>
    </row>
    <row r="143" spans="1:17" s="28" customFormat="1" ht="19.899999999999999" customHeight="1" x14ac:dyDescent="0.3">
      <c r="A143" s="622">
        <v>25</v>
      </c>
      <c r="B143" s="643" t="s">
        <v>206</v>
      </c>
      <c r="C143" s="642">
        <v>4000000</v>
      </c>
      <c r="D143" s="622"/>
      <c r="E143" s="626"/>
      <c r="F143" s="626"/>
      <c r="G143" s="626"/>
      <c r="H143" s="626"/>
      <c r="I143" s="628">
        <f t="shared" si="28"/>
        <v>48000000</v>
      </c>
      <c r="J143" s="627"/>
      <c r="K143" s="627">
        <f t="shared" si="23"/>
        <v>48000000</v>
      </c>
      <c r="L143" s="626"/>
      <c r="M143" s="628"/>
      <c r="N143" s="627">
        <f t="shared" si="29"/>
        <v>48000000</v>
      </c>
      <c r="O143" s="630"/>
      <c r="P143" s="629">
        <f t="shared" si="32"/>
        <v>48000000</v>
      </c>
      <c r="Q143" s="630"/>
    </row>
    <row r="144" spans="1:17" s="28" customFormat="1" ht="19.899999999999999" customHeight="1" x14ac:dyDescent="0.3">
      <c r="A144" s="622">
        <v>26</v>
      </c>
      <c r="B144" s="643" t="s">
        <v>207</v>
      </c>
      <c r="C144" s="642">
        <v>4000000</v>
      </c>
      <c r="D144" s="622"/>
      <c r="E144" s="626"/>
      <c r="F144" s="626"/>
      <c r="G144" s="626"/>
      <c r="H144" s="626"/>
      <c r="I144" s="628">
        <f t="shared" si="28"/>
        <v>48000000</v>
      </c>
      <c r="J144" s="627"/>
      <c r="K144" s="627">
        <f t="shared" si="23"/>
        <v>48000000</v>
      </c>
      <c r="L144" s="626"/>
      <c r="M144" s="628"/>
      <c r="N144" s="627">
        <f t="shared" si="29"/>
        <v>48000000</v>
      </c>
      <c r="O144" s="630"/>
      <c r="P144" s="629">
        <f t="shared" si="32"/>
        <v>48000000</v>
      </c>
      <c r="Q144" s="630"/>
    </row>
    <row r="145" spans="1:17" s="28" customFormat="1" ht="19.899999999999999" customHeight="1" x14ac:dyDescent="0.3">
      <c r="A145" s="622">
        <v>27</v>
      </c>
      <c r="B145" s="643" t="s">
        <v>208</v>
      </c>
      <c r="C145" s="642">
        <v>4000000</v>
      </c>
      <c r="D145" s="622"/>
      <c r="E145" s="626"/>
      <c r="F145" s="626"/>
      <c r="G145" s="626"/>
      <c r="H145" s="626"/>
      <c r="I145" s="628">
        <f t="shared" si="28"/>
        <v>48000000</v>
      </c>
      <c r="J145" s="627"/>
      <c r="K145" s="627">
        <f t="shared" si="23"/>
        <v>48000000</v>
      </c>
      <c r="L145" s="626"/>
      <c r="M145" s="628"/>
      <c r="N145" s="627">
        <f t="shared" si="29"/>
        <v>48000000</v>
      </c>
      <c r="O145" s="630"/>
      <c r="P145" s="629"/>
      <c r="Q145" s="629">
        <f>N145</f>
        <v>48000000</v>
      </c>
    </row>
    <row r="146" spans="1:17" s="28" customFormat="1" ht="19.899999999999999" customHeight="1" x14ac:dyDescent="0.3">
      <c r="A146" s="622">
        <v>28</v>
      </c>
      <c r="B146" s="643" t="s">
        <v>209</v>
      </c>
      <c r="C146" s="642">
        <v>4000000</v>
      </c>
      <c r="D146" s="622"/>
      <c r="E146" s="626"/>
      <c r="F146" s="626"/>
      <c r="G146" s="626"/>
      <c r="H146" s="626"/>
      <c r="I146" s="628">
        <f t="shared" si="28"/>
        <v>48000000</v>
      </c>
      <c r="J146" s="627"/>
      <c r="K146" s="627">
        <f t="shared" si="23"/>
        <v>48000000</v>
      </c>
      <c r="L146" s="626"/>
      <c r="M146" s="628"/>
      <c r="N146" s="627">
        <f t="shared" si="29"/>
        <v>48000000</v>
      </c>
      <c r="O146" s="630"/>
      <c r="P146" s="629"/>
      <c r="Q146" s="629">
        <f>N146</f>
        <v>48000000</v>
      </c>
    </row>
    <row r="147" spans="1:17" s="28" customFormat="1" ht="19.899999999999999" customHeight="1" x14ac:dyDescent="0.3">
      <c r="A147" s="622">
        <v>29</v>
      </c>
      <c r="B147" s="643" t="s">
        <v>210</v>
      </c>
      <c r="C147" s="642">
        <v>4000000</v>
      </c>
      <c r="D147" s="622"/>
      <c r="E147" s="626"/>
      <c r="F147" s="626"/>
      <c r="G147" s="626"/>
      <c r="H147" s="626"/>
      <c r="I147" s="628">
        <f t="shared" si="28"/>
        <v>48000000</v>
      </c>
      <c r="J147" s="627"/>
      <c r="K147" s="627">
        <f t="shared" si="23"/>
        <v>48000000</v>
      </c>
      <c r="L147" s="626"/>
      <c r="M147" s="628"/>
      <c r="N147" s="627">
        <f t="shared" si="29"/>
        <v>48000000</v>
      </c>
      <c r="O147" s="630"/>
      <c r="P147" s="629">
        <f t="shared" si="32"/>
        <v>48000000</v>
      </c>
      <c r="Q147" s="630"/>
    </row>
    <row r="148" spans="1:17" s="28" customFormat="1" ht="19.899999999999999" customHeight="1" x14ac:dyDescent="0.3">
      <c r="A148" s="622">
        <v>30</v>
      </c>
      <c r="B148" s="643" t="s">
        <v>211</v>
      </c>
      <c r="C148" s="642">
        <v>3500000</v>
      </c>
      <c r="D148" s="622"/>
      <c r="E148" s="626"/>
      <c r="F148" s="626"/>
      <c r="G148" s="626"/>
      <c r="H148" s="626"/>
      <c r="I148" s="628">
        <f t="shared" si="28"/>
        <v>42000000</v>
      </c>
      <c r="J148" s="627"/>
      <c r="K148" s="627">
        <f t="shared" si="23"/>
        <v>42000000</v>
      </c>
      <c r="L148" s="626"/>
      <c r="M148" s="628"/>
      <c r="N148" s="627">
        <f t="shared" si="29"/>
        <v>42000000</v>
      </c>
      <c r="O148" s="630"/>
      <c r="P148" s="629">
        <f t="shared" si="32"/>
        <v>42000000</v>
      </c>
      <c r="Q148" s="630"/>
    </row>
    <row r="149" spans="1:17" s="28" customFormat="1" ht="19.899999999999999" customHeight="1" x14ac:dyDescent="0.3">
      <c r="A149" s="622">
        <v>31</v>
      </c>
      <c r="B149" s="641" t="s">
        <v>212</v>
      </c>
      <c r="C149" s="642">
        <v>6500000</v>
      </c>
      <c r="D149" s="622"/>
      <c r="E149" s="626"/>
      <c r="F149" s="626"/>
      <c r="G149" s="626"/>
      <c r="H149" s="626"/>
      <c r="I149" s="628">
        <f t="shared" si="28"/>
        <v>78000000</v>
      </c>
      <c r="J149" s="627"/>
      <c r="K149" s="627">
        <f t="shared" si="23"/>
        <v>78000000</v>
      </c>
      <c r="L149" s="626"/>
      <c r="M149" s="628"/>
      <c r="N149" s="627">
        <f t="shared" si="29"/>
        <v>78000000</v>
      </c>
      <c r="O149" s="630"/>
      <c r="P149" s="629">
        <f>N149</f>
        <v>78000000</v>
      </c>
      <c r="Q149" s="630"/>
    </row>
    <row r="150" spans="1:17" s="28" customFormat="1" ht="19.899999999999999" customHeight="1" x14ac:dyDescent="0.3">
      <c r="A150" s="622">
        <v>32</v>
      </c>
      <c r="B150" s="641" t="s">
        <v>213</v>
      </c>
      <c r="C150" s="642">
        <v>6500000</v>
      </c>
      <c r="D150" s="622"/>
      <c r="E150" s="626"/>
      <c r="F150" s="626"/>
      <c r="G150" s="626"/>
      <c r="H150" s="626"/>
      <c r="I150" s="628">
        <f t="shared" si="28"/>
        <v>78000000</v>
      </c>
      <c r="J150" s="627"/>
      <c r="K150" s="627">
        <f t="shared" si="23"/>
        <v>78000000</v>
      </c>
      <c r="L150" s="626"/>
      <c r="M150" s="628"/>
      <c r="N150" s="627">
        <f t="shared" si="29"/>
        <v>78000000</v>
      </c>
      <c r="O150" s="630"/>
      <c r="P150" s="629">
        <f>N150</f>
        <v>78000000</v>
      </c>
      <c r="Q150" s="630"/>
    </row>
    <row r="151" spans="1:17" s="28" customFormat="1" ht="19.899999999999999" customHeight="1" x14ac:dyDescent="0.3">
      <c r="A151" s="622">
        <v>33</v>
      </c>
      <c r="B151" s="641" t="s">
        <v>214</v>
      </c>
      <c r="C151" s="642">
        <v>3500000</v>
      </c>
      <c r="D151" s="622"/>
      <c r="E151" s="626"/>
      <c r="F151" s="626"/>
      <c r="G151" s="626"/>
      <c r="H151" s="626"/>
      <c r="I151" s="628">
        <f t="shared" si="28"/>
        <v>42000000</v>
      </c>
      <c r="J151" s="627"/>
      <c r="K151" s="627">
        <f t="shared" si="23"/>
        <v>42000000</v>
      </c>
      <c r="L151" s="626"/>
      <c r="M151" s="628"/>
      <c r="N151" s="627">
        <f t="shared" si="29"/>
        <v>42000000</v>
      </c>
      <c r="O151" s="630"/>
      <c r="P151" s="629">
        <f>N151</f>
        <v>42000000</v>
      </c>
      <c r="Q151" s="630"/>
    </row>
    <row r="152" spans="1:17" s="28" customFormat="1" ht="19.899999999999999" customHeight="1" x14ac:dyDescent="0.3">
      <c r="A152" s="622">
        <v>34</v>
      </c>
      <c r="B152" s="641" t="s">
        <v>215</v>
      </c>
      <c r="C152" s="642">
        <v>6500000</v>
      </c>
      <c r="D152" s="622"/>
      <c r="E152" s="626"/>
      <c r="F152" s="626"/>
      <c r="G152" s="626"/>
      <c r="H152" s="626"/>
      <c r="I152" s="628">
        <f t="shared" si="28"/>
        <v>78000000</v>
      </c>
      <c r="J152" s="627"/>
      <c r="K152" s="627">
        <f t="shared" si="23"/>
        <v>78000000</v>
      </c>
      <c r="L152" s="626"/>
      <c r="M152" s="628"/>
      <c r="N152" s="627">
        <f t="shared" si="29"/>
        <v>78000000</v>
      </c>
      <c r="O152" s="630"/>
      <c r="P152" s="629">
        <f>N152</f>
        <v>78000000</v>
      </c>
      <c r="Q152" s="630"/>
    </row>
    <row r="153" spans="1:17" s="28" customFormat="1" ht="19.899999999999999" customHeight="1" x14ac:dyDescent="0.3">
      <c r="A153" s="644"/>
      <c r="B153" s="644" t="s">
        <v>62</v>
      </c>
      <c r="C153" s="645">
        <f>C61+C118</f>
        <v>492785000</v>
      </c>
      <c r="D153" s="646">
        <f>D8</f>
        <v>7.2489999999999997</v>
      </c>
      <c r="E153" s="646">
        <f>E8</f>
        <v>6.6</v>
      </c>
      <c r="F153" s="646">
        <f>F8</f>
        <v>0.1</v>
      </c>
      <c r="G153" s="646">
        <f>G8</f>
        <v>0.30000000000000004</v>
      </c>
      <c r="H153" s="646"/>
      <c r="I153" s="647">
        <f>I8+I61+I118</f>
        <v>11611385520</v>
      </c>
      <c r="J153" s="648">
        <f>J8+J61</f>
        <v>2378330077.1999998</v>
      </c>
      <c r="K153" s="648">
        <f>K8+K61</f>
        <v>12510115597.200001</v>
      </c>
      <c r="L153" s="645">
        <f>SUBTOTAL(9,L8:L152)</f>
        <v>20200000</v>
      </c>
      <c r="M153" s="645">
        <f>SUBTOTAL(9,M8:M152)</f>
        <v>7050000</v>
      </c>
      <c r="N153" s="648">
        <f>N8+N61+N118</f>
        <v>14006865597.200001</v>
      </c>
      <c r="O153" s="648">
        <f>O8+O61+O118</f>
        <v>8517338954.1999998</v>
      </c>
      <c r="P153" s="648">
        <f>P8+P61+P118</f>
        <v>3774854443</v>
      </c>
      <c r="Q153" s="648">
        <f>Q8+Q61+Q118</f>
        <v>1714672200</v>
      </c>
    </row>
    <row r="154" spans="1:17" x14ac:dyDescent="0.25">
      <c r="A154" s="30"/>
      <c r="B154" s="148"/>
      <c r="C154" s="25"/>
      <c r="D154" s="25"/>
      <c r="E154" s="652"/>
      <c r="F154" s="652"/>
      <c r="G154" s="652"/>
      <c r="H154" s="652"/>
      <c r="I154" s="52"/>
      <c r="J154" s="52"/>
      <c r="K154" s="52"/>
      <c r="L154" s="652"/>
      <c r="M154" s="652"/>
      <c r="N154" s="52"/>
      <c r="O154" s="20"/>
    </row>
    <row r="155" spans="1:17" x14ac:dyDescent="0.25">
      <c r="A155" s="21"/>
      <c r="B155" s="149"/>
      <c r="C155" s="21"/>
      <c r="D155" s="21"/>
      <c r="E155" s="653"/>
      <c r="F155" s="654"/>
      <c r="G155" s="653"/>
      <c r="H155" s="653"/>
      <c r="I155" s="21"/>
      <c r="J155" s="21"/>
      <c r="K155" s="21"/>
      <c r="L155" s="653"/>
      <c r="M155" s="653"/>
      <c r="N155" s="21"/>
    </row>
    <row r="156" spans="1:17" x14ac:dyDescent="0.25">
      <c r="A156" s="21"/>
      <c r="B156" s="149"/>
      <c r="C156" s="21"/>
      <c r="D156" s="21"/>
      <c r="E156" s="653"/>
      <c r="F156" s="653"/>
      <c r="G156" s="653"/>
      <c r="H156" s="653"/>
      <c r="I156" s="21"/>
      <c r="J156" s="21"/>
      <c r="K156" s="21"/>
      <c r="L156" s="653"/>
      <c r="M156" s="653"/>
      <c r="N156" s="21"/>
    </row>
    <row r="163" spans="1:15" s="649" customFormat="1" x14ac:dyDescent="0.25">
      <c r="A163" s="33"/>
      <c r="B163" s="34"/>
      <c r="C163" s="47"/>
      <c r="D163" s="47"/>
      <c r="I163" s="50"/>
      <c r="J163" s="50"/>
      <c r="K163" s="50"/>
      <c r="N163" s="50"/>
      <c r="O163" s="21"/>
    </row>
    <row r="164" spans="1:15" s="649" customFormat="1" x14ac:dyDescent="0.25">
      <c r="A164" s="33"/>
      <c r="B164" s="34"/>
      <c r="C164" s="47"/>
      <c r="D164" s="47"/>
      <c r="I164" s="50"/>
      <c r="J164" s="50"/>
      <c r="K164" s="50"/>
      <c r="N164" s="50"/>
      <c r="O164" s="21"/>
    </row>
  </sheetData>
  <mergeCells count="12">
    <mergeCell ref="N5:N6"/>
    <mergeCell ref="O5:Q5"/>
    <mergeCell ref="A1:D1"/>
    <mergeCell ref="A2:D2"/>
    <mergeCell ref="A3:M3"/>
    <mergeCell ref="A5:A6"/>
    <mergeCell ref="B5:B6"/>
    <mergeCell ref="C5:C6"/>
    <mergeCell ref="D5:H5"/>
    <mergeCell ref="I5:I6"/>
    <mergeCell ref="J5:J6"/>
    <mergeCell ref="K5:K6"/>
  </mergeCells>
  <pageMargins left="0.31" right="0" top="0.196850393700787" bottom="0.196850393700787" header="0.31496062992126" footer="0.31496062992126"/>
  <pageSetup paperSize="9" scale="72" fitToWidth="0"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90" zoomScaleNormal="90" zoomScalePageLayoutView="90" workbookViewId="0">
      <selection activeCell="E8" sqref="A1:H20"/>
    </sheetView>
  </sheetViews>
  <sheetFormatPr defaultColWidth="6.69921875" defaultRowHeight="15.75" x14ac:dyDescent="0.25"/>
  <cols>
    <col min="1" max="1" width="4.09765625" style="109" customWidth="1"/>
    <col min="2" max="2" width="19.59765625" style="109" customWidth="1"/>
    <col min="3" max="3" width="12.8984375" style="110" customWidth="1"/>
    <col min="4" max="4" width="13.19921875" style="109" customWidth="1"/>
    <col min="5" max="5" width="12.59765625" style="111" customWidth="1"/>
    <col min="6" max="6" width="12.5" style="111" customWidth="1"/>
    <col min="7" max="7" width="11.296875" style="109" customWidth="1"/>
    <col min="8" max="8" width="17.09765625" style="109" customWidth="1"/>
    <col min="9" max="11" width="13.19921875" style="112" customWidth="1"/>
    <col min="12" max="254" width="6.69921875" style="109"/>
    <col min="255" max="255" width="4.8984375" style="109" customWidth="1"/>
    <col min="256" max="256" width="11.69921875" style="109" customWidth="1"/>
    <col min="257" max="258" width="12.19921875" style="109" customWidth="1"/>
    <col min="259" max="259" width="11.69921875" style="109" customWidth="1"/>
    <col min="260" max="260" width="10.8984375" style="109" customWidth="1"/>
    <col min="261" max="261" width="10.69921875" style="109" customWidth="1"/>
    <col min="262" max="262" width="11.09765625" style="109" customWidth="1"/>
    <col min="263" max="263" width="11.69921875" style="109" customWidth="1"/>
    <col min="264" max="510" width="6.69921875" style="109"/>
    <col min="511" max="511" width="4.8984375" style="109" customWidth="1"/>
    <col min="512" max="512" width="11.69921875" style="109" customWidth="1"/>
    <col min="513" max="514" width="12.19921875" style="109" customWidth="1"/>
    <col min="515" max="515" width="11.69921875" style="109" customWidth="1"/>
    <col min="516" max="516" width="10.8984375" style="109" customWidth="1"/>
    <col min="517" max="517" width="10.69921875" style="109" customWidth="1"/>
    <col min="518" max="518" width="11.09765625" style="109" customWidth="1"/>
    <col min="519" max="519" width="11.69921875" style="109" customWidth="1"/>
    <col min="520" max="766" width="6.69921875" style="109"/>
    <col min="767" max="767" width="4.8984375" style="109" customWidth="1"/>
    <col min="768" max="768" width="11.69921875" style="109" customWidth="1"/>
    <col min="769" max="770" width="12.19921875" style="109" customWidth="1"/>
    <col min="771" max="771" width="11.69921875" style="109" customWidth="1"/>
    <col min="772" max="772" width="10.8984375" style="109" customWidth="1"/>
    <col min="773" max="773" width="10.69921875" style="109" customWidth="1"/>
    <col min="774" max="774" width="11.09765625" style="109" customWidth="1"/>
    <col min="775" max="775" width="11.69921875" style="109" customWidth="1"/>
    <col min="776" max="1022" width="6.69921875" style="109"/>
    <col min="1023" max="1023" width="4.8984375" style="109" customWidth="1"/>
    <col min="1024" max="1024" width="11.69921875" style="109" customWidth="1"/>
    <col min="1025" max="1026" width="12.19921875" style="109" customWidth="1"/>
    <col min="1027" max="1027" width="11.69921875" style="109" customWidth="1"/>
    <col min="1028" max="1028" width="10.8984375" style="109" customWidth="1"/>
    <col min="1029" max="1029" width="10.69921875" style="109" customWidth="1"/>
    <col min="1030" max="1030" width="11.09765625" style="109" customWidth="1"/>
    <col min="1031" max="1031" width="11.69921875" style="109" customWidth="1"/>
    <col min="1032" max="1278" width="6.69921875" style="109"/>
    <col min="1279" max="1279" width="4.8984375" style="109" customWidth="1"/>
    <col min="1280" max="1280" width="11.69921875" style="109" customWidth="1"/>
    <col min="1281" max="1282" width="12.19921875" style="109" customWidth="1"/>
    <col min="1283" max="1283" width="11.69921875" style="109" customWidth="1"/>
    <col min="1284" max="1284" width="10.8984375" style="109" customWidth="1"/>
    <col min="1285" max="1285" width="10.69921875" style="109" customWidth="1"/>
    <col min="1286" max="1286" width="11.09765625" style="109" customWidth="1"/>
    <col min="1287" max="1287" width="11.69921875" style="109" customWidth="1"/>
    <col min="1288" max="1534" width="6.69921875" style="109"/>
    <col min="1535" max="1535" width="4.8984375" style="109" customWidth="1"/>
    <col min="1536" max="1536" width="11.69921875" style="109" customWidth="1"/>
    <col min="1537" max="1538" width="12.19921875" style="109" customWidth="1"/>
    <col min="1539" max="1539" width="11.69921875" style="109" customWidth="1"/>
    <col min="1540" max="1540" width="10.8984375" style="109" customWidth="1"/>
    <col min="1541" max="1541" width="10.69921875" style="109" customWidth="1"/>
    <col min="1542" max="1542" width="11.09765625" style="109" customWidth="1"/>
    <col min="1543" max="1543" width="11.69921875" style="109" customWidth="1"/>
    <col min="1544" max="1790" width="6.69921875" style="109"/>
    <col min="1791" max="1791" width="4.8984375" style="109" customWidth="1"/>
    <col min="1792" max="1792" width="11.69921875" style="109" customWidth="1"/>
    <col min="1793" max="1794" width="12.19921875" style="109" customWidth="1"/>
    <col min="1795" max="1795" width="11.69921875" style="109" customWidth="1"/>
    <col min="1796" max="1796" width="10.8984375" style="109" customWidth="1"/>
    <col min="1797" max="1797" width="10.69921875" style="109" customWidth="1"/>
    <col min="1798" max="1798" width="11.09765625" style="109" customWidth="1"/>
    <col min="1799" max="1799" width="11.69921875" style="109" customWidth="1"/>
    <col min="1800" max="2046" width="6.69921875" style="109"/>
    <col min="2047" max="2047" width="4.8984375" style="109" customWidth="1"/>
    <col min="2048" max="2048" width="11.69921875" style="109" customWidth="1"/>
    <col min="2049" max="2050" width="12.19921875" style="109" customWidth="1"/>
    <col min="2051" max="2051" width="11.69921875" style="109" customWidth="1"/>
    <col min="2052" max="2052" width="10.8984375" style="109" customWidth="1"/>
    <col min="2053" max="2053" width="10.69921875" style="109" customWidth="1"/>
    <col min="2054" max="2054" width="11.09765625" style="109" customWidth="1"/>
    <col min="2055" max="2055" width="11.69921875" style="109" customWidth="1"/>
    <col min="2056" max="2302" width="6.69921875" style="109"/>
    <col min="2303" max="2303" width="4.8984375" style="109" customWidth="1"/>
    <col min="2304" max="2304" width="11.69921875" style="109" customWidth="1"/>
    <col min="2305" max="2306" width="12.19921875" style="109" customWidth="1"/>
    <col min="2307" max="2307" width="11.69921875" style="109" customWidth="1"/>
    <col min="2308" max="2308" width="10.8984375" style="109" customWidth="1"/>
    <col min="2309" max="2309" width="10.69921875" style="109" customWidth="1"/>
    <col min="2310" max="2310" width="11.09765625" style="109" customWidth="1"/>
    <col min="2311" max="2311" width="11.69921875" style="109" customWidth="1"/>
    <col min="2312" max="2558" width="6.69921875" style="109"/>
    <col min="2559" max="2559" width="4.8984375" style="109" customWidth="1"/>
    <col min="2560" max="2560" width="11.69921875" style="109" customWidth="1"/>
    <col min="2561" max="2562" width="12.19921875" style="109" customWidth="1"/>
    <col min="2563" max="2563" width="11.69921875" style="109" customWidth="1"/>
    <col min="2564" max="2564" width="10.8984375" style="109" customWidth="1"/>
    <col min="2565" max="2565" width="10.69921875" style="109" customWidth="1"/>
    <col min="2566" max="2566" width="11.09765625" style="109" customWidth="1"/>
    <col min="2567" max="2567" width="11.69921875" style="109" customWidth="1"/>
    <col min="2568" max="2814" width="6.69921875" style="109"/>
    <col min="2815" max="2815" width="4.8984375" style="109" customWidth="1"/>
    <col min="2816" max="2816" width="11.69921875" style="109" customWidth="1"/>
    <col min="2817" max="2818" width="12.19921875" style="109" customWidth="1"/>
    <col min="2819" max="2819" width="11.69921875" style="109" customWidth="1"/>
    <col min="2820" max="2820" width="10.8984375" style="109" customWidth="1"/>
    <col min="2821" max="2821" width="10.69921875" style="109" customWidth="1"/>
    <col min="2822" max="2822" width="11.09765625" style="109" customWidth="1"/>
    <col min="2823" max="2823" width="11.69921875" style="109" customWidth="1"/>
    <col min="2824" max="3070" width="6.69921875" style="109"/>
    <col min="3071" max="3071" width="4.8984375" style="109" customWidth="1"/>
    <col min="3072" max="3072" width="11.69921875" style="109" customWidth="1"/>
    <col min="3073" max="3074" width="12.19921875" style="109" customWidth="1"/>
    <col min="3075" max="3075" width="11.69921875" style="109" customWidth="1"/>
    <col min="3076" max="3076" width="10.8984375" style="109" customWidth="1"/>
    <col min="3077" max="3077" width="10.69921875" style="109" customWidth="1"/>
    <col min="3078" max="3078" width="11.09765625" style="109" customWidth="1"/>
    <col min="3079" max="3079" width="11.69921875" style="109" customWidth="1"/>
    <col min="3080" max="3326" width="6.69921875" style="109"/>
    <col min="3327" max="3327" width="4.8984375" style="109" customWidth="1"/>
    <col min="3328" max="3328" width="11.69921875" style="109" customWidth="1"/>
    <col min="3329" max="3330" width="12.19921875" style="109" customWidth="1"/>
    <col min="3331" max="3331" width="11.69921875" style="109" customWidth="1"/>
    <col min="3332" max="3332" width="10.8984375" style="109" customWidth="1"/>
    <col min="3333" max="3333" width="10.69921875" style="109" customWidth="1"/>
    <col min="3334" max="3334" width="11.09765625" style="109" customWidth="1"/>
    <col min="3335" max="3335" width="11.69921875" style="109" customWidth="1"/>
    <col min="3336" max="3582" width="6.69921875" style="109"/>
    <col min="3583" max="3583" width="4.8984375" style="109" customWidth="1"/>
    <col min="3584" max="3584" width="11.69921875" style="109" customWidth="1"/>
    <col min="3585" max="3586" width="12.19921875" style="109" customWidth="1"/>
    <col min="3587" max="3587" width="11.69921875" style="109" customWidth="1"/>
    <col min="3588" max="3588" width="10.8984375" style="109" customWidth="1"/>
    <col min="3589" max="3589" width="10.69921875" style="109" customWidth="1"/>
    <col min="3590" max="3590" width="11.09765625" style="109" customWidth="1"/>
    <col min="3591" max="3591" width="11.69921875" style="109" customWidth="1"/>
    <col min="3592" max="3838" width="6.69921875" style="109"/>
    <col min="3839" max="3839" width="4.8984375" style="109" customWidth="1"/>
    <col min="3840" max="3840" width="11.69921875" style="109" customWidth="1"/>
    <col min="3841" max="3842" width="12.19921875" style="109" customWidth="1"/>
    <col min="3843" max="3843" width="11.69921875" style="109" customWidth="1"/>
    <col min="3844" max="3844" width="10.8984375" style="109" customWidth="1"/>
    <col min="3845" max="3845" width="10.69921875" style="109" customWidth="1"/>
    <col min="3846" max="3846" width="11.09765625" style="109" customWidth="1"/>
    <col min="3847" max="3847" width="11.69921875" style="109" customWidth="1"/>
    <col min="3848" max="4094" width="6.69921875" style="109"/>
    <col min="4095" max="4095" width="4.8984375" style="109" customWidth="1"/>
    <col min="4096" max="4096" width="11.69921875" style="109" customWidth="1"/>
    <col min="4097" max="4098" width="12.19921875" style="109" customWidth="1"/>
    <col min="4099" max="4099" width="11.69921875" style="109" customWidth="1"/>
    <col min="4100" max="4100" width="10.8984375" style="109" customWidth="1"/>
    <col min="4101" max="4101" width="10.69921875" style="109" customWidth="1"/>
    <col min="4102" max="4102" width="11.09765625" style="109" customWidth="1"/>
    <col min="4103" max="4103" width="11.69921875" style="109" customWidth="1"/>
    <col min="4104" max="4350" width="6.69921875" style="109"/>
    <col min="4351" max="4351" width="4.8984375" style="109" customWidth="1"/>
    <col min="4352" max="4352" width="11.69921875" style="109" customWidth="1"/>
    <col min="4353" max="4354" width="12.19921875" style="109" customWidth="1"/>
    <col min="4355" max="4355" width="11.69921875" style="109" customWidth="1"/>
    <col min="4356" max="4356" width="10.8984375" style="109" customWidth="1"/>
    <col min="4357" max="4357" width="10.69921875" style="109" customWidth="1"/>
    <col min="4358" max="4358" width="11.09765625" style="109" customWidth="1"/>
    <col min="4359" max="4359" width="11.69921875" style="109" customWidth="1"/>
    <col min="4360" max="4606" width="6.69921875" style="109"/>
    <col min="4607" max="4607" width="4.8984375" style="109" customWidth="1"/>
    <col min="4608" max="4608" width="11.69921875" style="109" customWidth="1"/>
    <col min="4609" max="4610" width="12.19921875" style="109" customWidth="1"/>
    <col min="4611" max="4611" width="11.69921875" style="109" customWidth="1"/>
    <col min="4612" max="4612" width="10.8984375" style="109" customWidth="1"/>
    <col min="4613" max="4613" width="10.69921875" style="109" customWidth="1"/>
    <col min="4614" max="4614" width="11.09765625" style="109" customWidth="1"/>
    <col min="4615" max="4615" width="11.69921875" style="109" customWidth="1"/>
    <col min="4616" max="4862" width="6.69921875" style="109"/>
    <col min="4863" max="4863" width="4.8984375" style="109" customWidth="1"/>
    <col min="4864" max="4864" width="11.69921875" style="109" customWidth="1"/>
    <col min="4865" max="4866" width="12.19921875" style="109" customWidth="1"/>
    <col min="4867" max="4867" width="11.69921875" style="109" customWidth="1"/>
    <col min="4868" max="4868" width="10.8984375" style="109" customWidth="1"/>
    <col min="4869" max="4869" width="10.69921875" style="109" customWidth="1"/>
    <col min="4870" max="4870" width="11.09765625" style="109" customWidth="1"/>
    <col min="4871" max="4871" width="11.69921875" style="109" customWidth="1"/>
    <col min="4872" max="5118" width="6.69921875" style="109"/>
    <col min="5119" max="5119" width="4.8984375" style="109" customWidth="1"/>
    <col min="5120" max="5120" width="11.69921875" style="109" customWidth="1"/>
    <col min="5121" max="5122" width="12.19921875" style="109" customWidth="1"/>
    <col min="5123" max="5123" width="11.69921875" style="109" customWidth="1"/>
    <col min="5124" max="5124" width="10.8984375" style="109" customWidth="1"/>
    <col min="5125" max="5125" width="10.69921875" style="109" customWidth="1"/>
    <col min="5126" max="5126" width="11.09765625" style="109" customWidth="1"/>
    <col min="5127" max="5127" width="11.69921875" style="109" customWidth="1"/>
    <col min="5128" max="5374" width="6.69921875" style="109"/>
    <col min="5375" max="5375" width="4.8984375" style="109" customWidth="1"/>
    <col min="5376" max="5376" width="11.69921875" style="109" customWidth="1"/>
    <col min="5377" max="5378" width="12.19921875" style="109" customWidth="1"/>
    <col min="5379" max="5379" width="11.69921875" style="109" customWidth="1"/>
    <col min="5380" max="5380" width="10.8984375" style="109" customWidth="1"/>
    <col min="5381" max="5381" width="10.69921875" style="109" customWidth="1"/>
    <col min="5382" max="5382" width="11.09765625" style="109" customWidth="1"/>
    <col min="5383" max="5383" width="11.69921875" style="109" customWidth="1"/>
    <col min="5384" max="5630" width="6.69921875" style="109"/>
    <col min="5631" max="5631" width="4.8984375" style="109" customWidth="1"/>
    <col min="5632" max="5632" width="11.69921875" style="109" customWidth="1"/>
    <col min="5633" max="5634" width="12.19921875" style="109" customWidth="1"/>
    <col min="5635" max="5635" width="11.69921875" style="109" customWidth="1"/>
    <col min="5636" max="5636" width="10.8984375" style="109" customWidth="1"/>
    <col min="5637" max="5637" width="10.69921875" style="109" customWidth="1"/>
    <col min="5638" max="5638" width="11.09765625" style="109" customWidth="1"/>
    <col min="5639" max="5639" width="11.69921875" style="109" customWidth="1"/>
    <col min="5640" max="5886" width="6.69921875" style="109"/>
    <col min="5887" max="5887" width="4.8984375" style="109" customWidth="1"/>
    <col min="5888" max="5888" width="11.69921875" style="109" customWidth="1"/>
    <col min="5889" max="5890" width="12.19921875" style="109" customWidth="1"/>
    <col min="5891" max="5891" width="11.69921875" style="109" customWidth="1"/>
    <col min="5892" max="5892" width="10.8984375" style="109" customWidth="1"/>
    <col min="5893" max="5893" width="10.69921875" style="109" customWidth="1"/>
    <col min="5894" max="5894" width="11.09765625" style="109" customWidth="1"/>
    <col min="5895" max="5895" width="11.69921875" style="109" customWidth="1"/>
    <col min="5896" max="6142" width="6.69921875" style="109"/>
    <col min="6143" max="6143" width="4.8984375" style="109" customWidth="1"/>
    <col min="6144" max="6144" width="11.69921875" style="109" customWidth="1"/>
    <col min="6145" max="6146" width="12.19921875" style="109" customWidth="1"/>
    <col min="6147" max="6147" width="11.69921875" style="109" customWidth="1"/>
    <col min="6148" max="6148" width="10.8984375" style="109" customWidth="1"/>
    <col min="6149" max="6149" width="10.69921875" style="109" customWidth="1"/>
    <col min="6150" max="6150" width="11.09765625" style="109" customWidth="1"/>
    <col min="6151" max="6151" width="11.69921875" style="109" customWidth="1"/>
    <col min="6152" max="6398" width="6.69921875" style="109"/>
    <col min="6399" max="6399" width="4.8984375" style="109" customWidth="1"/>
    <col min="6400" max="6400" width="11.69921875" style="109" customWidth="1"/>
    <col min="6401" max="6402" width="12.19921875" style="109" customWidth="1"/>
    <col min="6403" max="6403" width="11.69921875" style="109" customWidth="1"/>
    <col min="6404" max="6404" width="10.8984375" style="109" customWidth="1"/>
    <col min="6405" max="6405" width="10.69921875" style="109" customWidth="1"/>
    <col min="6406" max="6406" width="11.09765625" style="109" customWidth="1"/>
    <col min="6407" max="6407" width="11.69921875" style="109" customWidth="1"/>
    <col min="6408" max="6654" width="6.69921875" style="109"/>
    <col min="6655" max="6655" width="4.8984375" style="109" customWidth="1"/>
    <col min="6656" max="6656" width="11.69921875" style="109" customWidth="1"/>
    <col min="6657" max="6658" width="12.19921875" style="109" customWidth="1"/>
    <col min="6659" max="6659" width="11.69921875" style="109" customWidth="1"/>
    <col min="6660" max="6660" width="10.8984375" style="109" customWidth="1"/>
    <col min="6661" max="6661" width="10.69921875" style="109" customWidth="1"/>
    <col min="6662" max="6662" width="11.09765625" style="109" customWidth="1"/>
    <col min="6663" max="6663" width="11.69921875" style="109" customWidth="1"/>
    <col min="6664" max="6910" width="6.69921875" style="109"/>
    <col min="6911" max="6911" width="4.8984375" style="109" customWidth="1"/>
    <col min="6912" max="6912" width="11.69921875" style="109" customWidth="1"/>
    <col min="6913" max="6914" width="12.19921875" style="109" customWidth="1"/>
    <col min="6915" max="6915" width="11.69921875" style="109" customWidth="1"/>
    <col min="6916" max="6916" width="10.8984375" style="109" customWidth="1"/>
    <col min="6917" max="6917" width="10.69921875" style="109" customWidth="1"/>
    <col min="6918" max="6918" width="11.09765625" style="109" customWidth="1"/>
    <col min="6919" max="6919" width="11.69921875" style="109" customWidth="1"/>
    <col min="6920" max="7166" width="6.69921875" style="109"/>
    <col min="7167" max="7167" width="4.8984375" style="109" customWidth="1"/>
    <col min="7168" max="7168" width="11.69921875" style="109" customWidth="1"/>
    <col min="7169" max="7170" width="12.19921875" style="109" customWidth="1"/>
    <col min="7171" max="7171" width="11.69921875" style="109" customWidth="1"/>
    <col min="7172" max="7172" width="10.8984375" style="109" customWidth="1"/>
    <col min="7173" max="7173" width="10.69921875" style="109" customWidth="1"/>
    <col min="7174" max="7174" width="11.09765625" style="109" customWidth="1"/>
    <col min="7175" max="7175" width="11.69921875" style="109" customWidth="1"/>
    <col min="7176" max="7422" width="6.69921875" style="109"/>
    <col min="7423" max="7423" width="4.8984375" style="109" customWidth="1"/>
    <col min="7424" max="7424" width="11.69921875" style="109" customWidth="1"/>
    <col min="7425" max="7426" width="12.19921875" style="109" customWidth="1"/>
    <col min="7427" max="7427" width="11.69921875" style="109" customWidth="1"/>
    <col min="7428" max="7428" width="10.8984375" style="109" customWidth="1"/>
    <col min="7429" max="7429" width="10.69921875" style="109" customWidth="1"/>
    <col min="7430" max="7430" width="11.09765625" style="109" customWidth="1"/>
    <col min="7431" max="7431" width="11.69921875" style="109" customWidth="1"/>
    <col min="7432" max="7678" width="6.69921875" style="109"/>
    <col min="7679" max="7679" width="4.8984375" style="109" customWidth="1"/>
    <col min="7680" max="7680" width="11.69921875" style="109" customWidth="1"/>
    <col min="7681" max="7682" width="12.19921875" style="109" customWidth="1"/>
    <col min="7683" max="7683" width="11.69921875" style="109" customWidth="1"/>
    <col min="7684" max="7684" width="10.8984375" style="109" customWidth="1"/>
    <col min="7685" max="7685" width="10.69921875" style="109" customWidth="1"/>
    <col min="7686" max="7686" width="11.09765625" style="109" customWidth="1"/>
    <col min="7687" max="7687" width="11.69921875" style="109" customWidth="1"/>
    <col min="7688" max="7934" width="6.69921875" style="109"/>
    <col min="7935" max="7935" width="4.8984375" style="109" customWidth="1"/>
    <col min="7936" max="7936" width="11.69921875" style="109" customWidth="1"/>
    <col min="7937" max="7938" width="12.19921875" style="109" customWidth="1"/>
    <col min="7939" max="7939" width="11.69921875" style="109" customWidth="1"/>
    <col min="7940" max="7940" width="10.8984375" style="109" customWidth="1"/>
    <col min="7941" max="7941" width="10.69921875" style="109" customWidth="1"/>
    <col min="7942" max="7942" width="11.09765625" style="109" customWidth="1"/>
    <col min="7943" max="7943" width="11.69921875" style="109" customWidth="1"/>
    <col min="7944" max="8190" width="6.69921875" style="109"/>
    <col min="8191" max="8191" width="4.8984375" style="109" customWidth="1"/>
    <col min="8192" max="8192" width="11.69921875" style="109" customWidth="1"/>
    <col min="8193" max="8194" width="12.19921875" style="109" customWidth="1"/>
    <col min="8195" max="8195" width="11.69921875" style="109" customWidth="1"/>
    <col min="8196" max="8196" width="10.8984375" style="109" customWidth="1"/>
    <col min="8197" max="8197" width="10.69921875" style="109" customWidth="1"/>
    <col min="8198" max="8198" width="11.09765625" style="109" customWidth="1"/>
    <col min="8199" max="8199" width="11.69921875" style="109" customWidth="1"/>
    <col min="8200" max="8446" width="6.69921875" style="109"/>
    <col min="8447" max="8447" width="4.8984375" style="109" customWidth="1"/>
    <col min="8448" max="8448" width="11.69921875" style="109" customWidth="1"/>
    <col min="8449" max="8450" width="12.19921875" style="109" customWidth="1"/>
    <col min="8451" max="8451" width="11.69921875" style="109" customWidth="1"/>
    <col min="8452" max="8452" width="10.8984375" style="109" customWidth="1"/>
    <col min="8453" max="8453" width="10.69921875" style="109" customWidth="1"/>
    <col min="8454" max="8454" width="11.09765625" style="109" customWidth="1"/>
    <col min="8455" max="8455" width="11.69921875" style="109" customWidth="1"/>
    <col min="8456" max="8702" width="6.69921875" style="109"/>
    <col min="8703" max="8703" width="4.8984375" style="109" customWidth="1"/>
    <col min="8704" max="8704" width="11.69921875" style="109" customWidth="1"/>
    <col min="8705" max="8706" width="12.19921875" style="109" customWidth="1"/>
    <col min="8707" max="8707" width="11.69921875" style="109" customWidth="1"/>
    <col min="8708" max="8708" width="10.8984375" style="109" customWidth="1"/>
    <col min="8709" max="8709" width="10.69921875" style="109" customWidth="1"/>
    <col min="8710" max="8710" width="11.09765625" style="109" customWidth="1"/>
    <col min="8711" max="8711" width="11.69921875" style="109" customWidth="1"/>
    <col min="8712" max="8958" width="6.69921875" style="109"/>
    <col min="8959" max="8959" width="4.8984375" style="109" customWidth="1"/>
    <col min="8960" max="8960" width="11.69921875" style="109" customWidth="1"/>
    <col min="8961" max="8962" width="12.19921875" style="109" customWidth="1"/>
    <col min="8963" max="8963" width="11.69921875" style="109" customWidth="1"/>
    <col min="8964" max="8964" width="10.8984375" style="109" customWidth="1"/>
    <col min="8965" max="8965" width="10.69921875" style="109" customWidth="1"/>
    <col min="8966" max="8966" width="11.09765625" style="109" customWidth="1"/>
    <col min="8967" max="8967" width="11.69921875" style="109" customWidth="1"/>
    <col min="8968" max="9214" width="6.69921875" style="109"/>
    <col min="9215" max="9215" width="4.8984375" style="109" customWidth="1"/>
    <col min="9216" max="9216" width="11.69921875" style="109" customWidth="1"/>
    <col min="9217" max="9218" width="12.19921875" style="109" customWidth="1"/>
    <col min="9219" max="9219" width="11.69921875" style="109" customWidth="1"/>
    <col min="9220" max="9220" width="10.8984375" style="109" customWidth="1"/>
    <col min="9221" max="9221" width="10.69921875" style="109" customWidth="1"/>
    <col min="9222" max="9222" width="11.09765625" style="109" customWidth="1"/>
    <col min="9223" max="9223" width="11.69921875" style="109" customWidth="1"/>
    <col min="9224" max="9470" width="6.69921875" style="109"/>
    <col min="9471" max="9471" width="4.8984375" style="109" customWidth="1"/>
    <col min="9472" max="9472" width="11.69921875" style="109" customWidth="1"/>
    <col min="9473" max="9474" width="12.19921875" style="109" customWidth="1"/>
    <col min="9475" max="9475" width="11.69921875" style="109" customWidth="1"/>
    <col min="9476" max="9476" width="10.8984375" style="109" customWidth="1"/>
    <col min="9477" max="9477" width="10.69921875" style="109" customWidth="1"/>
    <col min="9478" max="9478" width="11.09765625" style="109" customWidth="1"/>
    <col min="9479" max="9479" width="11.69921875" style="109" customWidth="1"/>
    <col min="9480" max="9726" width="6.69921875" style="109"/>
    <col min="9727" max="9727" width="4.8984375" style="109" customWidth="1"/>
    <col min="9728" max="9728" width="11.69921875" style="109" customWidth="1"/>
    <col min="9729" max="9730" width="12.19921875" style="109" customWidth="1"/>
    <col min="9731" max="9731" width="11.69921875" style="109" customWidth="1"/>
    <col min="9732" max="9732" width="10.8984375" style="109" customWidth="1"/>
    <col min="9733" max="9733" width="10.69921875" style="109" customWidth="1"/>
    <col min="9734" max="9734" width="11.09765625" style="109" customWidth="1"/>
    <col min="9735" max="9735" width="11.69921875" style="109" customWidth="1"/>
    <col min="9736" max="9982" width="6.69921875" style="109"/>
    <col min="9983" max="9983" width="4.8984375" style="109" customWidth="1"/>
    <col min="9984" max="9984" width="11.69921875" style="109" customWidth="1"/>
    <col min="9985" max="9986" width="12.19921875" style="109" customWidth="1"/>
    <col min="9987" max="9987" width="11.69921875" style="109" customWidth="1"/>
    <col min="9988" max="9988" width="10.8984375" style="109" customWidth="1"/>
    <col min="9989" max="9989" width="10.69921875" style="109" customWidth="1"/>
    <col min="9990" max="9990" width="11.09765625" style="109" customWidth="1"/>
    <col min="9991" max="9991" width="11.69921875" style="109" customWidth="1"/>
    <col min="9992" max="10238" width="6.69921875" style="109"/>
    <col min="10239" max="10239" width="4.8984375" style="109" customWidth="1"/>
    <col min="10240" max="10240" width="11.69921875" style="109" customWidth="1"/>
    <col min="10241" max="10242" width="12.19921875" style="109" customWidth="1"/>
    <col min="10243" max="10243" width="11.69921875" style="109" customWidth="1"/>
    <col min="10244" max="10244" width="10.8984375" style="109" customWidth="1"/>
    <col min="10245" max="10245" width="10.69921875" style="109" customWidth="1"/>
    <col min="10246" max="10246" width="11.09765625" style="109" customWidth="1"/>
    <col min="10247" max="10247" width="11.69921875" style="109" customWidth="1"/>
    <col min="10248" max="10494" width="6.69921875" style="109"/>
    <col min="10495" max="10495" width="4.8984375" style="109" customWidth="1"/>
    <col min="10496" max="10496" width="11.69921875" style="109" customWidth="1"/>
    <col min="10497" max="10498" width="12.19921875" style="109" customWidth="1"/>
    <col min="10499" max="10499" width="11.69921875" style="109" customWidth="1"/>
    <col min="10500" max="10500" width="10.8984375" style="109" customWidth="1"/>
    <col min="10501" max="10501" width="10.69921875" style="109" customWidth="1"/>
    <col min="10502" max="10502" width="11.09765625" style="109" customWidth="1"/>
    <col min="10503" max="10503" width="11.69921875" style="109" customWidth="1"/>
    <col min="10504" max="10750" width="6.69921875" style="109"/>
    <col min="10751" max="10751" width="4.8984375" style="109" customWidth="1"/>
    <col min="10752" max="10752" width="11.69921875" style="109" customWidth="1"/>
    <col min="10753" max="10754" width="12.19921875" style="109" customWidth="1"/>
    <col min="10755" max="10755" width="11.69921875" style="109" customWidth="1"/>
    <col min="10756" max="10756" width="10.8984375" style="109" customWidth="1"/>
    <col min="10757" max="10757" width="10.69921875" style="109" customWidth="1"/>
    <col min="10758" max="10758" width="11.09765625" style="109" customWidth="1"/>
    <col min="10759" max="10759" width="11.69921875" style="109" customWidth="1"/>
    <col min="10760" max="11006" width="6.69921875" style="109"/>
    <col min="11007" max="11007" width="4.8984375" style="109" customWidth="1"/>
    <col min="11008" max="11008" width="11.69921875" style="109" customWidth="1"/>
    <col min="11009" max="11010" width="12.19921875" style="109" customWidth="1"/>
    <col min="11011" max="11011" width="11.69921875" style="109" customWidth="1"/>
    <col min="11012" max="11012" width="10.8984375" style="109" customWidth="1"/>
    <col min="11013" max="11013" width="10.69921875" style="109" customWidth="1"/>
    <col min="11014" max="11014" width="11.09765625" style="109" customWidth="1"/>
    <col min="11015" max="11015" width="11.69921875" style="109" customWidth="1"/>
    <col min="11016" max="11262" width="6.69921875" style="109"/>
    <col min="11263" max="11263" width="4.8984375" style="109" customWidth="1"/>
    <col min="11264" max="11264" width="11.69921875" style="109" customWidth="1"/>
    <col min="11265" max="11266" width="12.19921875" style="109" customWidth="1"/>
    <col min="11267" max="11267" width="11.69921875" style="109" customWidth="1"/>
    <col min="11268" max="11268" width="10.8984375" style="109" customWidth="1"/>
    <col min="11269" max="11269" width="10.69921875" style="109" customWidth="1"/>
    <col min="11270" max="11270" width="11.09765625" style="109" customWidth="1"/>
    <col min="11271" max="11271" width="11.69921875" style="109" customWidth="1"/>
    <col min="11272" max="11518" width="6.69921875" style="109"/>
    <col min="11519" max="11519" width="4.8984375" style="109" customWidth="1"/>
    <col min="11520" max="11520" width="11.69921875" style="109" customWidth="1"/>
    <col min="11521" max="11522" width="12.19921875" style="109" customWidth="1"/>
    <col min="11523" max="11523" width="11.69921875" style="109" customWidth="1"/>
    <col min="11524" max="11524" width="10.8984375" style="109" customWidth="1"/>
    <col min="11525" max="11525" width="10.69921875" style="109" customWidth="1"/>
    <col min="11526" max="11526" width="11.09765625" style="109" customWidth="1"/>
    <col min="11527" max="11527" width="11.69921875" style="109" customWidth="1"/>
    <col min="11528" max="11774" width="6.69921875" style="109"/>
    <col min="11775" max="11775" width="4.8984375" style="109" customWidth="1"/>
    <col min="11776" max="11776" width="11.69921875" style="109" customWidth="1"/>
    <col min="11777" max="11778" width="12.19921875" style="109" customWidth="1"/>
    <col min="11779" max="11779" width="11.69921875" style="109" customWidth="1"/>
    <col min="11780" max="11780" width="10.8984375" style="109" customWidth="1"/>
    <col min="11781" max="11781" width="10.69921875" style="109" customWidth="1"/>
    <col min="11782" max="11782" width="11.09765625" style="109" customWidth="1"/>
    <col min="11783" max="11783" width="11.69921875" style="109" customWidth="1"/>
    <col min="11784" max="12030" width="6.69921875" style="109"/>
    <col min="12031" max="12031" width="4.8984375" style="109" customWidth="1"/>
    <col min="12032" max="12032" width="11.69921875" style="109" customWidth="1"/>
    <col min="12033" max="12034" width="12.19921875" style="109" customWidth="1"/>
    <col min="12035" max="12035" width="11.69921875" style="109" customWidth="1"/>
    <col min="12036" max="12036" width="10.8984375" style="109" customWidth="1"/>
    <col min="12037" max="12037" width="10.69921875" style="109" customWidth="1"/>
    <col min="12038" max="12038" width="11.09765625" style="109" customWidth="1"/>
    <col min="12039" max="12039" width="11.69921875" style="109" customWidth="1"/>
    <col min="12040" max="12286" width="6.69921875" style="109"/>
    <col min="12287" max="12287" width="4.8984375" style="109" customWidth="1"/>
    <col min="12288" max="12288" width="11.69921875" style="109" customWidth="1"/>
    <col min="12289" max="12290" width="12.19921875" style="109" customWidth="1"/>
    <col min="12291" max="12291" width="11.69921875" style="109" customWidth="1"/>
    <col min="12292" max="12292" width="10.8984375" style="109" customWidth="1"/>
    <col min="12293" max="12293" width="10.69921875" style="109" customWidth="1"/>
    <col min="12294" max="12294" width="11.09765625" style="109" customWidth="1"/>
    <col min="12295" max="12295" width="11.69921875" style="109" customWidth="1"/>
    <col min="12296" max="12542" width="6.69921875" style="109"/>
    <col min="12543" max="12543" width="4.8984375" style="109" customWidth="1"/>
    <col min="12544" max="12544" width="11.69921875" style="109" customWidth="1"/>
    <col min="12545" max="12546" width="12.19921875" style="109" customWidth="1"/>
    <col min="12547" max="12547" width="11.69921875" style="109" customWidth="1"/>
    <col min="12548" max="12548" width="10.8984375" style="109" customWidth="1"/>
    <col min="12549" max="12549" width="10.69921875" style="109" customWidth="1"/>
    <col min="12550" max="12550" width="11.09765625" style="109" customWidth="1"/>
    <col min="12551" max="12551" width="11.69921875" style="109" customWidth="1"/>
    <col min="12552" max="12798" width="6.69921875" style="109"/>
    <col min="12799" max="12799" width="4.8984375" style="109" customWidth="1"/>
    <col min="12800" max="12800" width="11.69921875" style="109" customWidth="1"/>
    <col min="12801" max="12802" width="12.19921875" style="109" customWidth="1"/>
    <col min="12803" max="12803" width="11.69921875" style="109" customWidth="1"/>
    <col min="12804" max="12804" width="10.8984375" style="109" customWidth="1"/>
    <col min="12805" max="12805" width="10.69921875" style="109" customWidth="1"/>
    <col min="12806" max="12806" width="11.09765625" style="109" customWidth="1"/>
    <col min="12807" max="12807" width="11.69921875" style="109" customWidth="1"/>
    <col min="12808" max="13054" width="6.69921875" style="109"/>
    <col min="13055" max="13055" width="4.8984375" style="109" customWidth="1"/>
    <col min="13056" max="13056" width="11.69921875" style="109" customWidth="1"/>
    <col min="13057" max="13058" width="12.19921875" style="109" customWidth="1"/>
    <col min="13059" max="13059" width="11.69921875" style="109" customWidth="1"/>
    <col min="13060" max="13060" width="10.8984375" style="109" customWidth="1"/>
    <col min="13061" max="13061" width="10.69921875" style="109" customWidth="1"/>
    <col min="13062" max="13062" width="11.09765625" style="109" customWidth="1"/>
    <col min="13063" max="13063" width="11.69921875" style="109" customWidth="1"/>
    <col min="13064" max="13310" width="6.69921875" style="109"/>
    <col min="13311" max="13311" width="4.8984375" style="109" customWidth="1"/>
    <col min="13312" max="13312" width="11.69921875" style="109" customWidth="1"/>
    <col min="13313" max="13314" width="12.19921875" style="109" customWidth="1"/>
    <col min="13315" max="13315" width="11.69921875" style="109" customWidth="1"/>
    <col min="13316" max="13316" width="10.8984375" style="109" customWidth="1"/>
    <col min="13317" max="13317" width="10.69921875" style="109" customWidth="1"/>
    <col min="13318" max="13318" width="11.09765625" style="109" customWidth="1"/>
    <col min="13319" max="13319" width="11.69921875" style="109" customWidth="1"/>
    <col min="13320" max="13566" width="6.69921875" style="109"/>
    <col min="13567" max="13567" width="4.8984375" style="109" customWidth="1"/>
    <col min="13568" max="13568" width="11.69921875" style="109" customWidth="1"/>
    <col min="13569" max="13570" width="12.19921875" style="109" customWidth="1"/>
    <col min="13571" max="13571" width="11.69921875" style="109" customWidth="1"/>
    <col min="13572" max="13572" width="10.8984375" style="109" customWidth="1"/>
    <col min="13573" max="13573" width="10.69921875" style="109" customWidth="1"/>
    <col min="13574" max="13574" width="11.09765625" style="109" customWidth="1"/>
    <col min="13575" max="13575" width="11.69921875" style="109" customWidth="1"/>
    <col min="13576" max="13822" width="6.69921875" style="109"/>
    <col min="13823" max="13823" width="4.8984375" style="109" customWidth="1"/>
    <col min="13824" max="13824" width="11.69921875" style="109" customWidth="1"/>
    <col min="13825" max="13826" width="12.19921875" style="109" customWidth="1"/>
    <col min="13827" max="13827" width="11.69921875" style="109" customWidth="1"/>
    <col min="13828" max="13828" width="10.8984375" style="109" customWidth="1"/>
    <col min="13829" max="13829" width="10.69921875" style="109" customWidth="1"/>
    <col min="13830" max="13830" width="11.09765625" style="109" customWidth="1"/>
    <col min="13831" max="13831" width="11.69921875" style="109" customWidth="1"/>
    <col min="13832" max="14078" width="6.69921875" style="109"/>
    <col min="14079" max="14079" width="4.8984375" style="109" customWidth="1"/>
    <col min="14080" max="14080" width="11.69921875" style="109" customWidth="1"/>
    <col min="14081" max="14082" width="12.19921875" style="109" customWidth="1"/>
    <col min="14083" max="14083" width="11.69921875" style="109" customWidth="1"/>
    <col min="14084" max="14084" width="10.8984375" style="109" customWidth="1"/>
    <col min="14085" max="14085" width="10.69921875" style="109" customWidth="1"/>
    <col min="14086" max="14086" width="11.09765625" style="109" customWidth="1"/>
    <col min="14087" max="14087" width="11.69921875" style="109" customWidth="1"/>
    <col min="14088" max="14334" width="6.69921875" style="109"/>
    <col min="14335" max="14335" width="4.8984375" style="109" customWidth="1"/>
    <col min="14336" max="14336" width="11.69921875" style="109" customWidth="1"/>
    <col min="14337" max="14338" width="12.19921875" style="109" customWidth="1"/>
    <col min="14339" max="14339" width="11.69921875" style="109" customWidth="1"/>
    <col min="14340" max="14340" width="10.8984375" style="109" customWidth="1"/>
    <col min="14341" max="14341" width="10.69921875" style="109" customWidth="1"/>
    <col min="14342" max="14342" width="11.09765625" style="109" customWidth="1"/>
    <col min="14343" max="14343" width="11.69921875" style="109" customWidth="1"/>
    <col min="14344" max="14590" width="6.69921875" style="109"/>
    <col min="14591" max="14591" width="4.8984375" style="109" customWidth="1"/>
    <col min="14592" max="14592" width="11.69921875" style="109" customWidth="1"/>
    <col min="14593" max="14594" width="12.19921875" style="109" customWidth="1"/>
    <col min="14595" max="14595" width="11.69921875" style="109" customWidth="1"/>
    <col min="14596" max="14596" width="10.8984375" style="109" customWidth="1"/>
    <col min="14597" max="14597" width="10.69921875" style="109" customWidth="1"/>
    <col min="14598" max="14598" width="11.09765625" style="109" customWidth="1"/>
    <col min="14599" max="14599" width="11.69921875" style="109" customWidth="1"/>
    <col min="14600" max="14846" width="6.69921875" style="109"/>
    <col min="14847" max="14847" width="4.8984375" style="109" customWidth="1"/>
    <col min="14848" max="14848" width="11.69921875" style="109" customWidth="1"/>
    <col min="14849" max="14850" width="12.19921875" style="109" customWidth="1"/>
    <col min="14851" max="14851" width="11.69921875" style="109" customWidth="1"/>
    <col min="14852" max="14852" width="10.8984375" style="109" customWidth="1"/>
    <col min="14853" max="14853" width="10.69921875" style="109" customWidth="1"/>
    <col min="14854" max="14854" width="11.09765625" style="109" customWidth="1"/>
    <col min="14855" max="14855" width="11.69921875" style="109" customWidth="1"/>
    <col min="14856" max="15102" width="6.69921875" style="109"/>
    <col min="15103" max="15103" width="4.8984375" style="109" customWidth="1"/>
    <col min="15104" max="15104" width="11.69921875" style="109" customWidth="1"/>
    <col min="15105" max="15106" width="12.19921875" style="109" customWidth="1"/>
    <col min="15107" max="15107" width="11.69921875" style="109" customWidth="1"/>
    <col min="15108" max="15108" width="10.8984375" style="109" customWidth="1"/>
    <col min="15109" max="15109" width="10.69921875" style="109" customWidth="1"/>
    <col min="15110" max="15110" width="11.09765625" style="109" customWidth="1"/>
    <col min="15111" max="15111" width="11.69921875" style="109" customWidth="1"/>
    <col min="15112" max="15358" width="6.69921875" style="109"/>
    <col min="15359" max="15359" width="4.8984375" style="109" customWidth="1"/>
    <col min="15360" max="15360" width="11.69921875" style="109" customWidth="1"/>
    <col min="15361" max="15362" width="12.19921875" style="109" customWidth="1"/>
    <col min="15363" max="15363" width="11.69921875" style="109" customWidth="1"/>
    <col min="15364" max="15364" width="10.8984375" style="109" customWidth="1"/>
    <col min="15365" max="15365" width="10.69921875" style="109" customWidth="1"/>
    <col min="15366" max="15366" width="11.09765625" style="109" customWidth="1"/>
    <col min="15367" max="15367" width="11.69921875" style="109" customWidth="1"/>
    <col min="15368" max="15614" width="6.69921875" style="109"/>
    <col min="15615" max="15615" width="4.8984375" style="109" customWidth="1"/>
    <col min="15616" max="15616" width="11.69921875" style="109" customWidth="1"/>
    <col min="15617" max="15618" width="12.19921875" style="109" customWidth="1"/>
    <col min="15619" max="15619" width="11.69921875" style="109" customWidth="1"/>
    <col min="15620" max="15620" width="10.8984375" style="109" customWidth="1"/>
    <col min="15621" max="15621" width="10.69921875" style="109" customWidth="1"/>
    <col min="15622" max="15622" width="11.09765625" style="109" customWidth="1"/>
    <col min="15623" max="15623" width="11.69921875" style="109" customWidth="1"/>
    <col min="15624" max="15870" width="6.69921875" style="109"/>
    <col min="15871" max="15871" width="4.8984375" style="109" customWidth="1"/>
    <col min="15872" max="15872" width="11.69921875" style="109" customWidth="1"/>
    <col min="15873" max="15874" width="12.19921875" style="109" customWidth="1"/>
    <col min="15875" max="15875" width="11.69921875" style="109" customWidth="1"/>
    <col min="15876" max="15876" width="10.8984375" style="109" customWidth="1"/>
    <col min="15877" max="15877" width="10.69921875" style="109" customWidth="1"/>
    <col min="15878" max="15878" width="11.09765625" style="109" customWidth="1"/>
    <col min="15879" max="15879" width="11.69921875" style="109" customWidth="1"/>
    <col min="15880" max="16126" width="6.69921875" style="109"/>
    <col min="16127" max="16127" width="4.8984375" style="109" customWidth="1"/>
    <col min="16128" max="16128" width="11.69921875" style="109" customWidth="1"/>
    <col min="16129" max="16130" width="12.19921875" style="109" customWidth="1"/>
    <col min="16131" max="16131" width="11.69921875" style="109" customWidth="1"/>
    <col min="16132" max="16132" width="10.8984375" style="109" customWidth="1"/>
    <col min="16133" max="16133" width="10.69921875" style="109" customWidth="1"/>
    <col min="16134" max="16134" width="11.09765625" style="109" customWidth="1"/>
    <col min="16135" max="16135" width="11.69921875" style="109" customWidth="1"/>
    <col min="16136" max="16384" width="6.69921875" style="109"/>
  </cols>
  <sheetData>
    <row r="1" spans="1:12" x14ac:dyDescent="0.25">
      <c r="A1" s="890"/>
      <c r="B1" s="890"/>
      <c r="C1" s="891"/>
      <c r="D1" s="890"/>
      <c r="E1" s="892"/>
      <c r="F1" s="892"/>
      <c r="G1" s="890" t="s">
        <v>453</v>
      </c>
      <c r="H1" s="890"/>
    </row>
    <row r="2" spans="1:12" ht="51" customHeight="1" x14ac:dyDescent="0.25">
      <c r="A2" s="893" t="s">
        <v>1130</v>
      </c>
      <c r="B2" s="893"/>
      <c r="C2" s="893"/>
      <c r="D2" s="893"/>
      <c r="E2" s="893"/>
      <c r="F2" s="893"/>
      <c r="G2" s="893"/>
      <c r="H2" s="893"/>
      <c r="I2" s="124"/>
      <c r="J2" s="124"/>
      <c r="K2" s="124"/>
      <c r="L2" s="124"/>
    </row>
    <row r="3" spans="1:12" x14ac:dyDescent="0.25">
      <c r="A3" s="890"/>
      <c r="B3" s="890"/>
      <c r="C3" s="891"/>
      <c r="D3" s="890"/>
      <c r="E3" s="892"/>
      <c r="F3" s="892"/>
      <c r="G3" s="890"/>
      <c r="H3" s="113" t="s">
        <v>20</v>
      </c>
    </row>
    <row r="4" spans="1:12" s="114" customFormat="1" ht="22.5" customHeight="1" x14ac:dyDescent="0.3">
      <c r="A4" s="894" t="s">
        <v>6</v>
      </c>
      <c r="B4" s="894" t="s">
        <v>21</v>
      </c>
      <c r="C4" s="895" t="s">
        <v>380</v>
      </c>
      <c r="D4" s="896" t="s">
        <v>381</v>
      </c>
      <c r="E4" s="897"/>
      <c r="F4" s="897"/>
      <c r="G4" s="898"/>
      <c r="H4" s="899" t="s">
        <v>389</v>
      </c>
      <c r="I4" s="115"/>
      <c r="J4" s="115"/>
      <c r="K4" s="115"/>
    </row>
    <row r="5" spans="1:12" s="114" customFormat="1" ht="31.5" x14ac:dyDescent="0.3">
      <c r="A5" s="900"/>
      <c r="B5" s="900"/>
      <c r="C5" s="901"/>
      <c r="D5" s="902" t="s">
        <v>10</v>
      </c>
      <c r="E5" s="902" t="s">
        <v>382</v>
      </c>
      <c r="F5" s="902" t="s">
        <v>383</v>
      </c>
      <c r="G5" s="903" t="s">
        <v>384</v>
      </c>
      <c r="H5" s="904"/>
      <c r="I5" s="115"/>
      <c r="J5" s="115"/>
      <c r="K5" s="115"/>
    </row>
    <row r="6" spans="1:12" s="116" customFormat="1" x14ac:dyDescent="0.3">
      <c r="A6" s="905" t="s">
        <v>15</v>
      </c>
      <c r="B6" s="905" t="s">
        <v>16</v>
      </c>
      <c r="C6" s="906" t="s">
        <v>14</v>
      </c>
      <c r="D6" s="906">
        <v>1</v>
      </c>
      <c r="E6" s="906">
        <v>2</v>
      </c>
      <c r="F6" s="906">
        <v>3</v>
      </c>
      <c r="G6" s="906">
        <v>4</v>
      </c>
      <c r="H6" s="905" t="s">
        <v>17</v>
      </c>
      <c r="I6" s="117"/>
      <c r="J6" s="117"/>
      <c r="K6" s="117"/>
    </row>
    <row r="7" spans="1:12" s="118" customFormat="1" x14ac:dyDescent="0.3">
      <c r="A7" s="879" t="s">
        <v>5</v>
      </c>
      <c r="B7" s="879" t="s">
        <v>1131</v>
      </c>
      <c r="C7" s="907">
        <f>SUBTOTAL(9,C8:C11)</f>
        <v>17900000000</v>
      </c>
      <c r="D7" s="907">
        <f>SUM(D8:D11)</f>
        <v>0</v>
      </c>
      <c r="E7" s="907">
        <f>SUM(E8:E11)</f>
        <v>17900000000</v>
      </c>
      <c r="F7" s="907">
        <f>SUM(F8:F11)</f>
        <v>0</v>
      </c>
      <c r="G7" s="907">
        <f>SUM(G8:G11)</f>
        <v>0</v>
      </c>
      <c r="H7" s="879"/>
      <c r="I7" s="119"/>
      <c r="J7" s="119"/>
      <c r="K7" s="119"/>
    </row>
    <row r="8" spans="1:12" s="121" customFormat="1" ht="31.5" x14ac:dyDescent="0.3">
      <c r="A8" s="905">
        <v>1</v>
      </c>
      <c r="B8" s="908" t="s">
        <v>993</v>
      </c>
      <c r="C8" s="120">
        <v>7900000000</v>
      </c>
      <c r="D8" s="909"/>
      <c r="E8" s="909">
        <f>C8-D8</f>
        <v>7900000000</v>
      </c>
      <c r="F8" s="909"/>
      <c r="G8" s="909"/>
      <c r="H8" s="874" t="s">
        <v>385</v>
      </c>
      <c r="I8" s="122"/>
      <c r="J8" s="122"/>
      <c r="K8" s="122"/>
    </row>
    <row r="9" spans="1:12" s="121" customFormat="1" ht="31.5" x14ac:dyDescent="0.3">
      <c r="A9" s="905">
        <v>2</v>
      </c>
      <c r="B9" s="908" t="s">
        <v>994</v>
      </c>
      <c r="C9" s="120">
        <v>9100000000</v>
      </c>
      <c r="D9" s="909"/>
      <c r="E9" s="909">
        <f>C9-D9</f>
        <v>9100000000</v>
      </c>
      <c r="F9" s="909"/>
      <c r="G9" s="909"/>
      <c r="H9" s="874" t="s">
        <v>385</v>
      </c>
      <c r="I9" s="122"/>
      <c r="J9" s="122"/>
      <c r="K9" s="122"/>
    </row>
    <row r="10" spans="1:12" s="121" customFormat="1" x14ac:dyDescent="0.3">
      <c r="A10" s="905">
        <v>3</v>
      </c>
      <c r="B10" s="908" t="s">
        <v>995</v>
      </c>
      <c r="C10" s="120">
        <v>700000000</v>
      </c>
      <c r="D10" s="909"/>
      <c r="E10" s="909">
        <f>C10</f>
        <v>700000000</v>
      </c>
      <c r="F10" s="909"/>
      <c r="G10" s="909"/>
      <c r="H10" s="874" t="s">
        <v>385</v>
      </c>
      <c r="I10" s="122"/>
      <c r="J10" s="122"/>
      <c r="K10" s="122"/>
    </row>
    <row r="11" spans="1:12" s="121" customFormat="1" ht="31.5" x14ac:dyDescent="0.3">
      <c r="A11" s="905">
        <v>4</v>
      </c>
      <c r="B11" s="908" t="s">
        <v>996</v>
      </c>
      <c r="C11" s="120">
        <v>200000000</v>
      </c>
      <c r="D11" s="909"/>
      <c r="E11" s="909">
        <f>C11</f>
        <v>200000000</v>
      </c>
      <c r="F11" s="909"/>
      <c r="G11" s="909"/>
      <c r="H11" s="874" t="s">
        <v>385</v>
      </c>
      <c r="I11" s="122"/>
      <c r="J11" s="122"/>
      <c r="K11" s="122"/>
    </row>
    <row r="12" spans="1:12" s="118" customFormat="1" x14ac:dyDescent="0.3">
      <c r="A12" s="879" t="s">
        <v>1</v>
      </c>
      <c r="B12" s="879" t="s">
        <v>235</v>
      </c>
      <c r="C12" s="907">
        <f>SUBTOTAL(9,C13:C16)</f>
        <v>26500000000</v>
      </c>
      <c r="D12" s="907">
        <f>SUM(D13:D16)</f>
        <v>1025000000</v>
      </c>
      <c r="E12" s="907">
        <f>SUM(E13:E16)</f>
        <v>5034000000</v>
      </c>
      <c r="F12" s="907">
        <f>SUM(F13:F16)</f>
        <v>17441000000</v>
      </c>
      <c r="G12" s="907">
        <f>SUM(G13:G16)</f>
        <v>3000000000</v>
      </c>
      <c r="H12" s="879"/>
      <c r="I12" s="119"/>
      <c r="J12" s="119"/>
      <c r="K12" s="119"/>
    </row>
    <row r="13" spans="1:12" s="121" customFormat="1" ht="63" customHeight="1" x14ac:dyDescent="0.3">
      <c r="A13" s="905">
        <v>1</v>
      </c>
      <c r="B13" s="910" t="s">
        <v>336</v>
      </c>
      <c r="C13" s="123">
        <v>6000000000</v>
      </c>
      <c r="D13" s="909"/>
      <c r="E13" s="909">
        <f>C13*11%</f>
        <v>660000000</v>
      </c>
      <c r="F13" s="909">
        <f>C13*39%</f>
        <v>2340000000</v>
      </c>
      <c r="G13" s="909">
        <f>C13*50%</f>
        <v>3000000000</v>
      </c>
      <c r="H13" s="874" t="s">
        <v>386</v>
      </c>
      <c r="I13" s="122"/>
      <c r="J13" s="122"/>
      <c r="K13" s="122"/>
    </row>
    <row r="14" spans="1:12" s="121" customFormat="1" ht="77.25" customHeight="1" x14ac:dyDescent="0.3">
      <c r="A14" s="905">
        <v>2</v>
      </c>
      <c r="B14" s="874" t="s">
        <v>454</v>
      </c>
      <c r="C14" s="123">
        <v>12000000000</v>
      </c>
      <c r="D14" s="909">
        <f>C14*5%</f>
        <v>600000000</v>
      </c>
      <c r="E14" s="909">
        <f>C14*11%</f>
        <v>1320000000</v>
      </c>
      <c r="F14" s="909">
        <f>C14*84%</f>
        <v>10080000000</v>
      </c>
      <c r="G14" s="909"/>
      <c r="H14" s="874" t="s">
        <v>1139</v>
      </c>
      <c r="I14" s="122"/>
      <c r="J14" s="122"/>
      <c r="K14" s="122"/>
    </row>
    <row r="15" spans="1:12" s="121" customFormat="1" ht="60" customHeight="1" x14ac:dyDescent="0.3">
      <c r="A15" s="905">
        <v>3</v>
      </c>
      <c r="B15" s="910" t="s">
        <v>8</v>
      </c>
      <c r="C15" s="123">
        <v>5700000000</v>
      </c>
      <c r="D15" s="909">
        <f>C15*5%</f>
        <v>285000000</v>
      </c>
      <c r="E15" s="909">
        <f>C15*30%</f>
        <v>1710000000</v>
      </c>
      <c r="F15" s="909">
        <f>C15*65%</f>
        <v>3705000000</v>
      </c>
      <c r="G15" s="120"/>
      <c r="H15" s="874" t="s">
        <v>1138</v>
      </c>
      <c r="I15" s="122"/>
      <c r="J15" s="122"/>
      <c r="K15" s="122"/>
    </row>
    <row r="16" spans="1:12" s="121" customFormat="1" ht="63.75" customHeight="1" x14ac:dyDescent="0.3">
      <c r="A16" s="905">
        <v>4</v>
      </c>
      <c r="B16" s="910" t="s">
        <v>9</v>
      </c>
      <c r="C16" s="123">
        <v>2800000000</v>
      </c>
      <c r="D16" s="909">
        <f>C16*5%</f>
        <v>140000000</v>
      </c>
      <c r="E16" s="909">
        <f>C16*48%</f>
        <v>1344000000</v>
      </c>
      <c r="F16" s="909">
        <f>C16*47%</f>
        <v>1316000000</v>
      </c>
      <c r="G16" s="120"/>
      <c r="H16" s="874" t="s">
        <v>1137</v>
      </c>
      <c r="I16" s="122"/>
      <c r="J16" s="122"/>
      <c r="K16" s="122"/>
    </row>
    <row r="17" spans="1:11" s="118" customFormat="1" x14ac:dyDescent="0.3">
      <c r="A17" s="879" t="s">
        <v>3</v>
      </c>
      <c r="B17" s="879" t="s">
        <v>236</v>
      </c>
      <c r="C17" s="907">
        <f>SUBTOTAL(9,C18:C19)</f>
        <v>4900000000</v>
      </c>
      <c r="D17" s="907">
        <f>SUM(D18:D19)</f>
        <v>490000000</v>
      </c>
      <c r="E17" s="907">
        <f>SUM(E18:E19)</f>
        <v>4410000000</v>
      </c>
      <c r="F17" s="907">
        <f>SUM(F18:F19)</f>
        <v>0</v>
      </c>
      <c r="G17" s="907">
        <f>SUM(G18:G19)</f>
        <v>0</v>
      </c>
      <c r="H17" s="879"/>
      <c r="I17" s="119"/>
      <c r="J17" s="119"/>
      <c r="K17" s="119"/>
    </row>
    <row r="18" spans="1:11" s="121" customFormat="1" x14ac:dyDescent="0.3">
      <c r="A18" s="905">
        <v>1</v>
      </c>
      <c r="B18" s="874" t="s">
        <v>7</v>
      </c>
      <c r="C18" s="123">
        <v>3095000000</v>
      </c>
      <c r="D18" s="909">
        <f>C18*10%</f>
        <v>309500000</v>
      </c>
      <c r="E18" s="909">
        <f>C18*90%</f>
        <v>2785500000</v>
      </c>
      <c r="F18" s="909"/>
      <c r="G18" s="120"/>
      <c r="H18" s="910"/>
      <c r="I18" s="122"/>
      <c r="J18" s="122"/>
      <c r="K18" s="122"/>
    </row>
    <row r="19" spans="1:11" s="121" customFormat="1" x14ac:dyDescent="0.3">
      <c r="A19" s="905">
        <v>2</v>
      </c>
      <c r="B19" s="910" t="s">
        <v>8</v>
      </c>
      <c r="C19" s="123">
        <v>1805000000</v>
      </c>
      <c r="D19" s="909">
        <f>C19*10%</f>
        <v>180500000</v>
      </c>
      <c r="E19" s="909">
        <f>C19*90%</f>
        <v>1624500000</v>
      </c>
      <c r="F19" s="909"/>
      <c r="G19" s="909">
        <v>0</v>
      </c>
      <c r="H19" s="910"/>
      <c r="I19" s="122"/>
      <c r="J19" s="122"/>
      <c r="K19" s="122"/>
    </row>
    <row r="20" spans="1:11" s="118" customFormat="1" ht="24" customHeight="1" x14ac:dyDescent="0.3">
      <c r="A20" s="887"/>
      <c r="B20" s="887" t="s">
        <v>1140</v>
      </c>
      <c r="C20" s="911">
        <f>SUBTOTAL(9,C7:C19)</f>
        <v>49300000000</v>
      </c>
      <c r="D20" s="911">
        <f>D7+D12+D17</f>
        <v>1515000000</v>
      </c>
      <c r="E20" s="911">
        <f>E7+E12+E17</f>
        <v>27344000000</v>
      </c>
      <c r="F20" s="911">
        <f>F7+F12+F17</f>
        <v>17441000000</v>
      </c>
      <c r="G20" s="911">
        <f>G7+G12+G17</f>
        <v>3000000000</v>
      </c>
      <c r="H20" s="887"/>
      <c r="I20" s="119"/>
      <c r="J20" s="119"/>
      <c r="K20" s="119"/>
    </row>
  </sheetData>
  <mergeCells count="6">
    <mergeCell ref="D4:G4"/>
    <mergeCell ref="H4:H5"/>
    <mergeCell ref="A2:H2"/>
    <mergeCell ref="A4:A5"/>
    <mergeCell ref="B4:B5"/>
    <mergeCell ref="C4:C5"/>
  </mergeCells>
  <pageMargins left="0.82175925925925897" right="0.196850393700787" top="0.39370078740157499" bottom="0.39370078740157499" header="0.31496062992126" footer="0.31496062992126"/>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
  <sheetViews>
    <sheetView zoomScale="80" zoomScaleNormal="80" zoomScalePageLayoutView="70" workbookViewId="0">
      <selection activeCell="D11" sqref="A1:XFD1048576"/>
    </sheetView>
  </sheetViews>
  <sheetFormatPr defaultColWidth="8.69921875" defaultRowHeight="17.25" x14ac:dyDescent="0.3"/>
  <cols>
    <col min="1" max="1" width="3.796875" style="686" customWidth="1"/>
    <col min="2" max="2" width="38" style="687" customWidth="1"/>
    <col min="3" max="6" width="13.69921875" style="688" customWidth="1"/>
    <col min="7" max="7" width="7.296875" style="688" customWidth="1"/>
    <col min="8" max="10" width="13.3984375" style="673" customWidth="1"/>
    <col min="11" max="16384" width="8.69921875" style="673"/>
  </cols>
  <sheetData>
    <row r="1" spans="1:8" x14ac:dyDescent="0.3">
      <c r="A1" s="669"/>
      <c r="B1" s="670"/>
      <c r="C1" s="671"/>
      <c r="D1" s="671"/>
      <c r="E1" s="671"/>
      <c r="F1" s="672" t="s">
        <v>976</v>
      </c>
      <c r="G1" s="671"/>
    </row>
    <row r="2" spans="1:8" x14ac:dyDescent="0.3">
      <c r="A2" s="708" t="s">
        <v>387</v>
      </c>
      <c r="B2" s="708"/>
      <c r="C2" s="708"/>
      <c r="D2" s="708"/>
      <c r="E2" s="708"/>
      <c r="F2" s="708"/>
      <c r="G2" s="708"/>
    </row>
    <row r="3" spans="1:8" x14ac:dyDescent="0.3">
      <c r="A3" s="674"/>
      <c r="B3" s="675"/>
      <c r="C3" s="676"/>
      <c r="D3" s="676"/>
      <c r="E3" s="676"/>
      <c r="F3" s="712" t="s">
        <v>20</v>
      </c>
      <c r="G3" s="712"/>
    </row>
    <row r="4" spans="1:8" s="3" customFormat="1" ht="33" x14ac:dyDescent="0.25">
      <c r="A4" s="135" t="s">
        <v>6</v>
      </c>
      <c r="B4" s="135" t="s">
        <v>0</v>
      </c>
      <c r="C4" s="135" t="s">
        <v>388</v>
      </c>
      <c r="D4" s="135" t="s">
        <v>238</v>
      </c>
      <c r="E4" s="135" t="s">
        <v>377</v>
      </c>
      <c r="F4" s="135" t="s">
        <v>359</v>
      </c>
      <c r="G4" s="135" t="s">
        <v>24</v>
      </c>
    </row>
    <row r="5" spans="1:8" s="3" customFormat="1" ht="16.5" x14ac:dyDescent="0.25">
      <c r="A5" s="5" t="s">
        <v>15</v>
      </c>
      <c r="B5" s="5" t="s">
        <v>16</v>
      </c>
      <c r="C5" s="5" t="s">
        <v>360</v>
      </c>
      <c r="D5" s="5">
        <v>2</v>
      </c>
      <c r="E5" s="5">
        <v>3</v>
      </c>
      <c r="F5" s="5">
        <v>4</v>
      </c>
      <c r="G5" s="5" t="s">
        <v>264</v>
      </c>
    </row>
    <row r="6" spans="1:8" x14ac:dyDescent="0.3">
      <c r="A6" s="140"/>
      <c r="B6" s="141" t="s">
        <v>25</v>
      </c>
      <c r="C6" s="142">
        <f>C7+C12+C34+C42+C75+C157</f>
        <v>27344000000.200001</v>
      </c>
      <c r="D6" s="142">
        <f>D7+D12+D34+D42+D75+D157</f>
        <v>17900000000.200001</v>
      </c>
      <c r="E6" s="142">
        <f>E7+E12+E34+E42+E75+E157</f>
        <v>5034000000</v>
      </c>
      <c r="F6" s="142">
        <f>F7+F12+F34+F42+F75+F157</f>
        <v>4410000000</v>
      </c>
      <c r="G6" s="142"/>
    </row>
    <row r="7" spans="1:8" s="677" customFormat="1" x14ac:dyDescent="0.3">
      <c r="A7" s="137" t="s">
        <v>5</v>
      </c>
      <c r="B7" s="138" t="s">
        <v>1169</v>
      </c>
      <c r="C7" s="139">
        <f>SUM(C8:C11)</f>
        <v>13910778877.200001</v>
      </c>
      <c r="D7" s="139">
        <f>SUM(D8:D11)</f>
        <v>10544178877.200001</v>
      </c>
      <c r="E7" s="139">
        <f>SUM(E8:E11)</f>
        <v>1651927800</v>
      </c>
      <c r="F7" s="139">
        <f>SUM(F8:F11)</f>
        <v>1714672200</v>
      </c>
      <c r="G7" s="139"/>
    </row>
    <row r="8" spans="1:8" ht="90" customHeight="1" x14ac:dyDescent="0.3">
      <c r="A8" s="44">
        <v>1</v>
      </c>
      <c r="B8" s="10" t="s">
        <v>1170</v>
      </c>
      <c r="C8" s="35">
        <f>D8+E8+F8</f>
        <v>9994765597.2000008</v>
      </c>
      <c r="D8" s="35">
        <f>'Bieu 05.1'!K8+'Bieu 05.1'!O61</f>
        <v>9994765597.2000008</v>
      </c>
      <c r="E8" s="35"/>
      <c r="F8" s="35"/>
      <c r="G8" s="709" t="s">
        <v>1011</v>
      </c>
    </row>
    <row r="9" spans="1:8" ht="71.25" customHeight="1" x14ac:dyDescent="0.3">
      <c r="A9" s="44">
        <v>2</v>
      </c>
      <c r="B9" s="10" t="s">
        <v>1171</v>
      </c>
      <c r="C9" s="35">
        <f>D9+E9+F9</f>
        <v>1651927800</v>
      </c>
      <c r="D9" s="35"/>
      <c r="E9" s="35">
        <f>'Bieu 05.1'!P153</f>
        <v>1651927800</v>
      </c>
      <c r="F9" s="35"/>
      <c r="G9" s="710"/>
      <c r="H9" s="689"/>
    </row>
    <row r="10" spans="1:8" ht="57" customHeight="1" x14ac:dyDescent="0.3">
      <c r="A10" s="44">
        <v>3</v>
      </c>
      <c r="B10" s="10" t="s">
        <v>1172</v>
      </c>
      <c r="C10" s="35">
        <f>D10+E10+F10</f>
        <v>1714672200</v>
      </c>
      <c r="D10" s="35"/>
      <c r="E10" s="35"/>
      <c r="F10" s="35">
        <f>'Bieu 05.1'!Q153</f>
        <v>1714672200</v>
      </c>
      <c r="G10" s="711"/>
    </row>
    <row r="11" spans="1:8" ht="25.5" customHeight="1" x14ac:dyDescent="0.3">
      <c r="A11" s="44">
        <v>4</v>
      </c>
      <c r="B11" s="40" t="s">
        <v>1012</v>
      </c>
      <c r="C11" s="35">
        <f>D11+E11+F11</f>
        <v>549413280.00000012</v>
      </c>
      <c r="D11" s="35">
        <f>195.66*10%*2340000*12</f>
        <v>549413280.00000012</v>
      </c>
      <c r="E11" s="35"/>
      <c r="F11" s="39"/>
      <c r="G11" s="690"/>
    </row>
    <row r="12" spans="1:8" s="677" customFormat="1" ht="33" x14ac:dyDescent="0.3">
      <c r="A12" s="137" t="s">
        <v>1</v>
      </c>
      <c r="B12" s="138" t="s">
        <v>271</v>
      </c>
      <c r="C12" s="139">
        <f>C13</f>
        <v>2143120000</v>
      </c>
      <c r="D12" s="139">
        <f>D13</f>
        <v>1565040000</v>
      </c>
      <c r="E12" s="139">
        <f t="shared" ref="E12:F12" si="0">E13</f>
        <v>406160000</v>
      </c>
      <c r="F12" s="139">
        <f t="shared" si="0"/>
        <v>171920000</v>
      </c>
      <c r="G12" s="139">
        <f>G19+G20+G21+G22+G23+G24+G14+G17+G18+G45+G84+G72</f>
        <v>0</v>
      </c>
    </row>
    <row r="13" spans="1:8" s="678" customFormat="1" x14ac:dyDescent="0.3">
      <c r="A13" s="544"/>
      <c r="B13" s="545" t="s">
        <v>230</v>
      </c>
      <c r="C13" s="546">
        <f>SUM(C15:C33)</f>
        <v>2143120000</v>
      </c>
      <c r="D13" s="546">
        <f>D14+SUM(D17:D33)</f>
        <v>1565040000</v>
      </c>
      <c r="E13" s="546">
        <f>SUM(E15:E33)</f>
        <v>406160000</v>
      </c>
      <c r="F13" s="546">
        <f>SUM(F15:F33)</f>
        <v>171920000</v>
      </c>
      <c r="G13" s="546"/>
    </row>
    <row r="14" spans="1:8" x14ac:dyDescent="0.3">
      <c r="A14" s="44">
        <v>1</v>
      </c>
      <c r="B14" s="10" t="s">
        <v>1155</v>
      </c>
      <c r="C14" s="38">
        <f>SUM(C15:C16)</f>
        <v>1620000000</v>
      </c>
      <c r="D14" s="38">
        <f>SUM(D15:D16)</f>
        <v>1170000000</v>
      </c>
      <c r="E14" s="38">
        <f>SUM(E15:E16)</f>
        <v>300000000</v>
      </c>
      <c r="F14" s="38">
        <f>SUM(F15:F16)</f>
        <v>150000000</v>
      </c>
      <c r="G14" s="43"/>
    </row>
    <row r="15" spans="1:8" s="679" customFormat="1" ht="39" customHeight="1" x14ac:dyDescent="0.3">
      <c r="A15" s="595"/>
      <c r="B15" s="15" t="s">
        <v>1152</v>
      </c>
      <c r="C15" s="42">
        <f>D15+E15+F15</f>
        <v>900000000</v>
      </c>
      <c r="D15" s="42">
        <v>650000000</v>
      </c>
      <c r="E15" s="42">
        <v>200000000</v>
      </c>
      <c r="F15" s="42">
        <v>50000000</v>
      </c>
      <c r="G15" s="42"/>
    </row>
    <row r="16" spans="1:8" s="679" customFormat="1" x14ac:dyDescent="0.3">
      <c r="A16" s="595"/>
      <c r="B16" s="15" t="s">
        <v>1153</v>
      </c>
      <c r="C16" s="42">
        <f>D16+E16+F16</f>
        <v>720000000</v>
      </c>
      <c r="D16" s="42">
        <v>520000000</v>
      </c>
      <c r="E16" s="42">
        <v>100000000</v>
      </c>
      <c r="F16" s="42">
        <v>100000000</v>
      </c>
      <c r="G16" s="42"/>
    </row>
    <row r="17" spans="1:7" x14ac:dyDescent="0.3">
      <c r="A17" s="44">
        <v>2</v>
      </c>
      <c r="B17" s="10" t="s">
        <v>300</v>
      </c>
      <c r="C17" s="35">
        <f>D17+E17+F17</f>
        <v>36000000</v>
      </c>
      <c r="D17" s="35">
        <v>25000000</v>
      </c>
      <c r="E17" s="35">
        <v>11000000</v>
      </c>
      <c r="F17" s="35"/>
      <c r="G17" s="35"/>
    </row>
    <row r="18" spans="1:7" ht="33" x14ac:dyDescent="0.3">
      <c r="A18" s="44">
        <v>3</v>
      </c>
      <c r="B18" s="10" t="s">
        <v>1160</v>
      </c>
      <c r="C18" s="35">
        <f>D18+E18+F18</f>
        <v>126000000</v>
      </c>
      <c r="D18" s="35">
        <v>106000000</v>
      </c>
      <c r="E18" s="35"/>
      <c r="F18" s="35">
        <v>20000000</v>
      </c>
      <c r="G18" s="35"/>
    </row>
    <row r="19" spans="1:7" ht="33" x14ac:dyDescent="0.3">
      <c r="A19" s="44">
        <v>4</v>
      </c>
      <c r="B19" s="665" t="s">
        <v>243</v>
      </c>
      <c r="C19" s="36">
        <f t="shared" ref="C19:C24" si="1">D19+E19+F19</f>
        <v>40000000</v>
      </c>
      <c r="D19" s="36">
        <v>30000000</v>
      </c>
      <c r="E19" s="36">
        <v>10000000</v>
      </c>
      <c r="F19" s="36"/>
      <c r="G19" s="37"/>
    </row>
    <row r="20" spans="1:7" x14ac:dyDescent="0.3">
      <c r="A20" s="44">
        <v>5</v>
      </c>
      <c r="B20" s="665" t="s">
        <v>299</v>
      </c>
      <c r="C20" s="36">
        <f t="shared" si="1"/>
        <v>21600000</v>
      </c>
      <c r="D20" s="36">
        <v>11600000</v>
      </c>
      <c r="E20" s="38">
        <v>10000000</v>
      </c>
      <c r="F20" s="38"/>
      <c r="G20" s="43"/>
    </row>
    <row r="21" spans="1:7" x14ac:dyDescent="0.3">
      <c r="A21" s="44">
        <v>6</v>
      </c>
      <c r="B21" s="10" t="s">
        <v>272</v>
      </c>
      <c r="C21" s="36">
        <f t="shared" si="1"/>
        <v>20000000</v>
      </c>
      <c r="D21" s="38">
        <v>20000000</v>
      </c>
      <c r="E21" s="38"/>
      <c r="F21" s="38"/>
      <c r="G21" s="43"/>
    </row>
    <row r="22" spans="1:7" ht="33" x14ac:dyDescent="0.3">
      <c r="A22" s="44">
        <v>7</v>
      </c>
      <c r="B22" s="10" t="s">
        <v>393</v>
      </c>
      <c r="C22" s="36">
        <f t="shared" si="1"/>
        <v>40000000</v>
      </c>
      <c r="D22" s="38">
        <v>20000000</v>
      </c>
      <c r="E22" s="38">
        <v>20000000</v>
      </c>
      <c r="F22" s="38"/>
      <c r="G22" s="43"/>
    </row>
    <row r="23" spans="1:7" x14ac:dyDescent="0.3">
      <c r="A23" s="44">
        <v>8</v>
      </c>
      <c r="B23" s="10" t="s">
        <v>1161</v>
      </c>
      <c r="C23" s="36">
        <f t="shared" si="1"/>
        <v>90000000</v>
      </c>
      <c r="D23" s="38">
        <v>60000000</v>
      </c>
      <c r="E23" s="38">
        <v>30000000</v>
      </c>
      <c r="F23" s="38"/>
      <c r="G23" s="43"/>
    </row>
    <row r="24" spans="1:7" x14ac:dyDescent="0.3">
      <c r="A24" s="44">
        <v>9</v>
      </c>
      <c r="B24" s="10" t="s">
        <v>244</v>
      </c>
      <c r="C24" s="36">
        <f t="shared" si="1"/>
        <v>10000000</v>
      </c>
      <c r="D24" s="38">
        <v>5000000</v>
      </c>
      <c r="E24" s="38">
        <v>5000000</v>
      </c>
      <c r="F24" s="38"/>
      <c r="G24" s="43"/>
    </row>
    <row r="25" spans="1:7" x14ac:dyDescent="0.3">
      <c r="A25" s="44">
        <v>10</v>
      </c>
      <c r="B25" s="10" t="s">
        <v>392</v>
      </c>
      <c r="C25" s="35"/>
      <c r="D25" s="35"/>
      <c r="E25" s="35"/>
      <c r="F25" s="35"/>
      <c r="G25" s="35"/>
    </row>
    <row r="26" spans="1:7" s="17" customFormat="1" ht="66" x14ac:dyDescent="0.25">
      <c r="A26" s="14"/>
      <c r="B26" s="15" t="s">
        <v>390</v>
      </c>
      <c r="C26" s="16">
        <f t="shared" ref="C26:C33" si="2">D26+E26+F26</f>
        <v>7440000</v>
      </c>
      <c r="D26" s="16">
        <v>7440000</v>
      </c>
      <c r="E26" s="16"/>
      <c r="F26" s="16"/>
      <c r="G26" s="16"/>
    </row>
    <row r="27" spans="1:7" s="17" customFormat="1" ht="66" x14ac:dyDescent="0.25">
      <c r="A27" s="14"/>
      <c r="B27" s="15" t="s">
        <v>391</v>
      </c>
      <c r="C27" s="16">
        <f t="shared" si="2"/>
        <v>5160000</v>
      </c>
      <c r="D27" s="16"/>
      <c r="E27" s="16">
        <f>120000*43</f>
        <v>5160000</v>
      </c>
      <c r="F27" s="16"/>
      <c r="G27" s="16"/>
    </row>
    <row r="28" spans="1:7" s="17" customFormat="1" ht="49.5" x14ac:dyDescent="0.25">
      <c r="A28" s="14"/>
      <c r="B28" s="15" t="s">
        <v>368</v>
      </c>
      <c r="C28" s="16">
        <f t="shared" si="2"/>
        <v>1920000</v>
      </c>
      <c r="D28" s="16"/>
      <c r="E28" s="16"/>
      <c r="F28" s="16">
        <f>120000*16</f>
        <v>1920000</v>
      </c>
      <c r="G28" s="16"/>
    </row>
    <row r="29" spans="1:7" s="3" customFormat="1" ht="33" x14ac:dyDescent="0.25">
      <c r="A29" s="11">
        <v>11</v>
      </c>
      <c r="B29" s="10" t="s">
        <v>366</v>
      </c>
      <c r="C29" s="9">
        <f t="shared" si="2"/>
        <v>30000000</v>
      </c>
      <c r="D29" s="547">
        <v>30000000</v>
      </c>
      <c r="E29" s="547"/>
      <c r="F29" s="547"/>
      <c r="G29" s="12"/>
    </row>
    <row r="30" spans="1:7" s="3" customFormat="1" ht="33" x14ac:dyDescent="0.25">
      <c r="A30" s="11">
        <v>12</v>
      </c>
      <c r="B30" s="10" t="s">
        <v>1020</v>
      </c>
      <c r="C30" s="9">
        <f t="shared" si="2"/>
        <v>20000000</v>
      </c>
      <c r="D30" s="547">
        <v>15000000</v>
      </c>
      <c r="E30" s="547">
        <v>5000000</v>
      </c>
      <c r="F30" s="547"/>
      <c r="G30" s="12"/>
    </row>
    <row r="31" spans="1:7" s="3" customFormat="1" ht="33" x14ac:dyDescent="0.25">
      <c r="A31" s="11">
        <v>13</v>
      </c>
      <c r="B31" s="10" t="s">
        <v>1021</v>
      </c>
      <c r="C31" s="9">
        <f t="shared" si="2"/>
        <v>10000000</v>
      </c>
      <c r="D31" s="547">
        <v>5000000</v>
      </c>
      <c r="E31" s="547">
        <v>5000000</v>
      </c>
      <c r="F31" s="547"/>
      <c r="G31" s="12"/>
    </row>
    <row r="32" spans="1:7" s="3" customFormat="1" ht="39" customHeight="1" x14ac:dyDescent="0.25">
      <c r="A32" s="11">
        <v>14</v>
      </c>
      <c r="B32" s="10" t="s">
        <v>1022</v>
      </c>
      <c r="C32" s="9">
        <f t="shared" ref="C32" si="3">D32+E32+F32</f>
        <v>51900000</v>
      </c>
      <c r="D32" s="9">
        <f>60000000-13100000</f>
        <v>46900000</v>
      </c>
      <c r="E32" s="548">
        <v>5000000</v>
      </c>
      <c r="F32" s="548"/>
      <c r="G32" s="549"/>
    </row>
    <row r="33" spans="1:7" s="3" customFormat="1" ht="16.5" x14ac:dyDescent="0.25">
      <c r="A33" s="11">
        <v>15</v>
      </c>
      <c r="B33" s="10" t="s">
        <v>1144</v>
      </c>
      <c r="C33" s="9">
        <f t="shared" si="2"/>
        <v>13100000</v>
      </c>
      <c r="D33" s="9">
        <f>10100000+3000000</f>
        <v>13100000</v>
      </c>
      <c r="E33" s="548"/>
      <c r="F33" s="548"/>
      <c r="G33" s="549"/>
    </row>
    <row r="34" spans="1:7" s="677" customFormat="1" ht="49.5" x14ac:dyDescent="0.3">
      <c r="A34" s="137" t="s">
        <v>3</v>
      </c>
      <c r="B34" s="138" t="s">
        <v>273</v>
      </c>
      <c r="C34" s="139">
        <f>SUM(C35:C41)</f>
        <v>1070000000</v>
      </c>
      <c r="D34" s="139">
        <f>SUM(D35:D41)</f>
        <v>790000000</v>
      </c>
      <c r="E34" s="139">
        <f>SUM(E35:E41)</f>
        <v>280000000</v>
      </c>
      <c r="F34" s="139">
        <f>SUM(F35:F41)</f>
        <v>0</v>
      </c>
      <c r="G34" s="139"/>
    </row>
    <row r="35" spans="1:7" s="3" customFormat="1" ht="33" x14ac:dyDescent="0.25">
      <c r="A35" s="11">
        <v>1</v>
      </c>
      <c r="B35" s="10" t="s">
        <v>275</v>
      </c>
      <c r="C35" s="9">
        <f t="shared" ref="C35:C41" si="4">D35+E35+F35</f>
        <v>70000000</v>
      </c>
      <c r="D35" s="9">
        <v>60000000</v>
      </c>
      <c r="E35" s="9">
        <v>10000000</v>
      </c>
      <c r="F35" s="9"/>
      <c r="G35" s="9"/>
    </row>
    <row r="36" spans="1:7" s="3" customFormat="1" ht="16.5" x14ac:dyDescent="0.25">
      <c r="A36" s="11">
        <f>A35+1</f>
        <v>2</v>
      </c>
      <c r="B36" s="10" t="s">
        <v>278</v>
      </c>
      <c r="C36" s="9">
        <f t="shared" si="4"/>
        <v>160000000</v>
      </c>
      <c r="D36" s="9">
        <v>60000000</v>
      </c>
      <c r="E36" s="9">
        <v>100000000</v>
      </c>
      <c r="F36" s="9"/>
      <c r="G36" s="9"/>
    </row>
    <row r="37" spans="1:7" s="3" customFormat="1" ht="33" x14ac:dyDescent="0.25">
      <c r="A37" s="11">
        <f>A36+1</f>
        <v>3</v>
      </c>
      <c r="B37" s="48" t="s">
        <v>364</v>
      </c>
      <c r="C37" s="9">
        <f t="shared" si="4"/>
        <v>150000000</v>
      </c>
      <c r="D37" s="9">
        <v>100000000</v>
      </c>
      <c r="E37" s="9">
        <v>50000000</v>
      </c>
      <c r="F37" s="9"/>
      <c r="G37" s="9"/>
    </row>
    <row r="38" spans="1:7" s="3" customFormat="1" ht="49.5" x14ac:dyDescent="0.25">
      <c r="A38" s="11">
        <f>A37+1</f>
        <v>4</v>
      </c>
      <c r="B38" s="10" t="s">
        <v>1023</v>
      </c>
      <c r="C38" s="9">
        <f t="shared" si="4"/>
        <v>320000000</v>
      </c>
      <c r="D38" s="9">
        <v>220000000</v>
      </c>
      <c r="E38" s="9">
        <v>100000000</v>
      </c>
      <c r="F38" s="9"/>
      <c r="G38" s="9"/>
    </row>
    <row r="39" spans="1:7" s="3" customFormat="1" ht="49.5" x14ac:dyDescent="0.25">
      <c r="A39" s="11">
        <f t="shared" ref="A39:A41" si="5">A38+1</f>
        <v>5</v>
      </c>
      <c r="B39" s="10" t="s">
        <v>1109</v>
      </c>
      <c r="C39" s="9">
        <f t="shared" si="4"/>
        <v>200000000</v>
      </c>
      <c r="D39" s="9">
        <v>200000000</v>
      </c>
      <c r="E39" s="9"/>
      <c r="F39" s="9"/>
      <c r="G39" s="9"/>
    </row>
    <row r="40" spans="1:7" s="3" customFormat="1" ht="33" x14ac:dyDescent="0.25">
      <c r="A40" s="11">
        <f t="shared" si="5"/>
        <v>6</v>
      </c>
      <c r="B40" s="10" t="s">
        <v>1040</v>
      </c>
      <c r="C40" s="9">
        <f t="shared" si="4"/>
        <v>50000000</v>
      </c>
      <c r="D40" s="9">
        <v>50000000</v>
      </c>
      <c r="E40" s="9"/>
      <c r="F40" s="9"/>
      <c r="G40" s="9"/>
    </row>
    <row r="41" spans="1:7" s="3" customFormat="1" ht="49.5" x14ac:dyDescent="0.25">
      <c r="A41" s="11">
        <f t="shared" si="5"/>
        <v>7</v>
      </c>
      <c r="B41" s="10" t="s">
        <v>1024</v>
      </c>
      <c r="C41" s="9">
        <f t="shared" si="4"/>
        <v>120000000</v>
      </c>
      <c r="D41" s="9">
        <v>100000000</v>
      </c>
      <c r="E41" s="9">
        <v>20000000</v>
      </c>
      <c r="F41" s="9"/>
      <c r="G41" s="9"/>
    </row>
    <row r="42" spans="1:7" s="59" customFormat="1" ht="33" x14ac:dyDescent="0.25">
      <c r="A42" s="134" t="s">
        <v>23</v>
      </c>
      <c r="B42" s="136" t="s">
        <v>276</v>
      </c>
      <c r="C42" s="143">
        <f>C43+C44</f>
        <v>1765181016</v>
      </c>
      <c r="D42" s="143">
        <f t="shared" ref="D42:F42" si="6">D43+D44</f>
        <v>350000000</v>
      </c>
      <c r="E42" s="143">
        <f t="shared" si="6"/>
        <v>50000000</v>
      </c>
      <c r="F42" s="143">
        <f t="shared" si="6"/>
        <v>1365181016</v>
      </c>
      <c r="G42" s="143"/>
    </row>
    <row r="43" spans="1:7" s="3" customFormat="1" ht="33" x14ac:dyDescent="0.25">
      <c r="A43" s="56">
        <v>1</v>
      </c>
      <c r="B43" s="10" t="s">
        <v>457</v>
      </c>
      <c r="C43" s="9">
        <f>D43+E43+F43</f>
        <v>50000000</v>
      </c>
      <c r="D43" s="9"/>
      <c r="E43" s="9">
        <v>50000000</v>
      </c>
      <c r="F43" s="9"/>
      <c r="G43" s="9"/>
    </row>
    <row r="44" spans="1:7" x14ac:dyDescent="0.3">
      <c r="A44" s="44">
        <v>2</v>
      </c>
      <c r="B44" s="10" t="s">
        <v>1013</v>
      </c>
      <c r="C44" s="38">
        <f>C45+C53+C72</f>
        <v>1715181016</v>
      </c>
      <c r="D44" s="38">
        <f>D45+D53+D72</f>
        <v>350000000</v>
      </c>
      <c r="E44" s="38">
        <f>E45+E53+E72</f>
        <v>0</v>
      </c>
      <c r="F44" s="38">
        <f>F45+F53+F72</f>
        <v>1365181016</v>
      </c>
      <c r="G44" s="43"/>
    </row>
    <row r="45" spans="1:7" ht="33" x14ac:dyDescent="0.3">
      <c r="A45" s="44" t="s">
        <v>551</v>
      </c>
      <c r="B45" s="680" t="s">
        <v>1018</v>
      </c>
      <c r="C45" s="91">
        <f>SUM(C46:C52)</f>
        <v>350000000</v>
      </c>
      <c r="D45" s="91">
        <f>SUM(D46:D52)</f>
        <v>350000000</v>
      </c>
      <c r="E45" s="35">
        <f>SUM(E46:E52)</f>
        <v>0</v>
      </c>
      <c r="F45" s="35">
        <f>SUM(F46:F52)</f>
        <v>0</v>
      </c>
      <c r="G45" s="35"/>
    </row>
    <row r="46" spans="1:7" s="681" customFormat="1" ht="33" x14ac:dyDescent="0.25">
      <c r="A46" s="44"/>
      <c r="B46" s="41" t="s">
        <v>1110</v>
      </c>
      <c r="C46" s="93">
        <f>D46+E46+F46</f>
        <v>150000000</v>
      </c>
      <c r="D46" s="93">
        <f>1500000*100</f>
        <v>150000000</v>
      </c>
      <c r="E46" s="42"/>
      <c r="F46" s="42"/>
      <c r="G46" s="43"/>
    </row>
    <row r="47" spans="1:7" s="681" customFormat="1" ht="36.75" customHeight="1" x14ac:dyDescent="0.25">
      <c r="A47" s="44"/>
      <c r="B47" s="41" t="s">
        <v>1111</v>
      </c>
      <c r="C47" s="93">
        <f t="shared" ref="C47:C52" si="7">D47+E47+F47</f>
        <v>70000000</v>
      </c>
      <c r="D47" s="93">
        <f>10000*7000</f>
        <v>70000000</v>
      </c>
      <c r="E47" s="42"/>
      <c r="F47" s="42"/>
      <c r="G47" s="43"/>
    </row>
    <row r="48" spans="1:7" ht="49.5" x14ac:dyDescent="0.3">
      <c r="A48" s="44"/>
      <c r="B48" s="15" t="s">
        <v>1112</v>
      </c>
      <c r="C48" s="93">
        <f t="shared" si="7"/>
        <v>50000000</v>
      </c>
      <c r="D48" s="93">
        <v>50000000</v>
      </c>
      <c r="E48" s="35"/>
      <c r="F48" s="35"/>
      <c r="G48" s="35"/>
    </row>
    <row r="49" spans="1:7" ht="33" x14ac:dyDescent="0.3">
      <c r="A49" s="44"/>
      <c r="B49" s="15" t="s">
        <v>1095</v>
      </c>
      <c r="C49" s="93">
        <f t="shared" si="7"/>
        <v>40000000</v>
      </c>
      <c r="D49" s="93">
        <v>40000000</v>
      </c>
      <c r="E49" s="35"/>
      <c r="F49" s="35"/>
      <c r="G49" s="35"/>
    </row>
    <row r="50" spans="1:7" ht="33" x14ac:dyDescent="0.3">
      <c r="A50" s="44"/>
      <c r="B50" s="15" t="s">
        <v>1096</v>
      </c>
      <c r="C50" s="93">
        <f t="shared" si="7"/>
        <v>20000000</v>
      </c>
      <c r="D50" s="93">
        <v>20000000</v>
      </c>
      <c r="E50" s="35"/>
      <c r="F50" s="35"/>
      <c r="G50" s="35"/>
    </row>
    <row r="51" spans="1:7" ht="36.75" customHeight="1" x14ac:dyDescent="0.3">
      <c r="A51" s="44"/>
      <c r="B51" s="15" t="s">
        <v>1097</v>
      </c>
      <c r="C51" s="93">
        <f t="shared" si="7"/>
        <v>10000000</v>
      </c>
      <c r="D51" s="93">
        <v>10000000</v>
      </c>
      <c r="E51" s="35"/>
      <c r="F51" s="35"/>
      <c r="G51" s="35"/>
    </row>
    <row r="52" spans="1:7" x14ac:dyDescent="0.3">
      <c r="A52" s="44"/>
      <c r="B52" s="41" t="s">
        <v>405</v>
      </c>
      <c r="C52" s="42">
        <f t="shared" si="7"/>
        <v>10000000</v>
      </c>
      <c r="D52" s="42">
        <v>10000000</v>
      </c>
      <c r="E52" s="42"/>
      <c r="F52" s="42"/>
      <c r="G52" s="35"/>
    </row>
    <row r="53" spans="1:7" x14ac:dyDescent="0.3">
      <c r="A53" s="56" t="s">
        <v>555</v>
      </c>
      <c r="B53" s="40" t="s">
        <v>18</v>
      </c>
      <c r="C53" s="57">
        <f>C54+C64</f>
        <v>1255620000</v>
      </c>
      <c r="D53" s="39"/>
      <c r="E53" s="39"/>
      <c r="F53" s="39">
        <f>F54+F64</f>
        <v>1255620000</v>
      </c>
      <c r="G53" s="39"/>
    </row>
    <row r="54" spans="1:7" s="679" customFormat="1" x14ac:dyDescent="0.3">
      <c r="A54" s="595" t="s">
        <v>282</v>
      </c>
      <c r="B54" s="18" t="s">
        <v>406</v>
      </c>
      <c r="C54" s="45">
        <f>SUM(C55:C63)</f>
        <v>729000000</v>
      </c>
      <c r="D54" s="45"/>
      <c r="E54" s="45"/>
      <c r="F54" s="45">
        <f>SUM(F55:F63)</f>
        <v>729000000</v>
      </c>
      <c r="G54" s="46"/>
    </row>
    <row r="55" spans="1:7" s="679" customFormat="1" x14ac:dyDescent="0.3">
      <c r="A55" s="595"/>
      <c r="B55" s="18" t="s">
        <v>41</v>
      </c>
      <c r="C55" s="45">
        <f>D55+E55+F55</f>
        <v>540000000</v>
      </c>
      <c r="D55" s="46"/>
      <c r="E55" s="46"/>
      <c r="F55" s="46">
        <f>6000*90000</f>
        <v>540000000</v>
      </c>
      <c r="G55" s="46"/>
    </row>
    <row r="56" spans="1:7" s="679" customFormat="1" x14ac:dyDescent="0.3">
      <c r="A56" s="595"/>
      <c r="B56" s="18" t="s">
        <v>42</v>
      </c>
      <c r="C56" s="45">
        <f t="shared" ref="C56:C71" si="8">D56+E56+F56</f>
        <v>110000000</v>
      </c>
      <c r="D56" s="46"/>
      <c r="E56" s="46"/>
      <c r="F56" s="46">
        <v>110000000</v>
      </c>
      <c r="G56" s="46"/>
    </row>
    <row r="57" spans="1:7" s="679" customFormat="1" x14ac:dyDescent="0.3">
      <c r="A57" s="595"/>
      <c r="B57" s="18" t="s">
        <v>43</v>
      </c>
      <c r="C57" s="45">
        <f t="shared" si="8"/>
        <v>20000000</v>
      </c>
      <c r="D57" s="46"/>
      <c r="E57" s="46"/>
      <c r="F57" s="46">
        <v>20000000</v>
      </c>
      <c r="G57" s="46"/>
    </row>
    <row r="58" spans="1:7" s="679" customFormat="1" x14ac:dyDescent="0.3">
      <c r="A58" s="595"/>
      <c r="B58" s="18" t="s">
        <v>44</v>
      </c>
      <c r="C58" s="45">
        <f t="shared" si="8"/>
        <v>5000000</v>
      </c>
      <c r="D58" s="46"/>
      <c r="E58" s="46"/>
      <c r="F58" s="46">
        <v>5000000</v>
      </c>
      <c r="G58" s="46"/>
    </row>
    <row r="59" spans="1:7" s="679" customFormat="1" x14ac:dyDescent="0.3">
      <c r="A59" s="595"/>
      <c r="B59" s="18" t="s">
        <v>45</v>
      </c>
      <c r="C59" s="45">
        <f t="shared" si="8"/>
        <v>12000000</v>
      </c>
      <c r="D59" s="46"/>
      <c r="E59" s="46"/>
      <c r="F59" s="46">
        <v>12000000</v>
      </c>
      <c r="G59" s="46"/>
    </row>
    <row r="60" spans="1:7" s="679" customFormat="1" x14ac:dyDescent="0.3">
      <c r="A60" s="595"/>
      <c r="B60" s="18" t="s">
        <v>46</v>
      </c>
      <c r="C60" s="45">
        <f t="shared" si="8"/>
        <v>12000000</v>
      </c>
      <c r="D60" s="46"/>
      <c r="E60" s="46"/>
      <c r="F60" s="46">
        <v>12000000</v>
      </c>
      <c r="G60" s="46"/>
    </row>
    <row r="61" spans="1:7" s="679" customFormat="1" x14ac:dyDescent="0.3">
      <c r="A61" s="595"/>
      <c r="B61" s="18" t="s">
        <v>47</v>
      </c>
      <c r="C61" s="45">
        <f t="shared" si="8"/>
        <v>10000000</v>
      </c>
      <c r="D61" s="46"/>
      <c r="E61" s="46"/>
      <c r="F61" s="46">
        <v>10000000</v>
      </c>
      <c r="G61" s="46"/>
    </row>
    <row r="62" spans="1:7" s="679" customFormat="1" x14ac:dyDescent="0.3">
      <c r="A62" s="595"/>
      <c r="B62" s="18" t="s">
        <v>462</v>
      </c>
      <c r="C62" s="45">
        <f t="shared" si="8"/>
        <v>10000000</v>
      </c>
      <c r="D62" s="46"/>
      <c r="E62" s="46"/>
      <c r="F62" s="46">
        <v>10000000</v>
      </c>
      <c r="G62" s="46"/>
    </row>
    <row r="63" spans="1:7" s="679" customFormat="1" x14ac:dyDescent="0.3">
      <c r="A63" s="595"/>
      <c r="B63" s="18" t="s">
        <v>48</v>
      </c>
      <c r="C63" s="45">
        <f t="shared" si="8"/>
        <v>10000000</v>
      </c>
      <c r="D63" s="46"/>
      <c r="E63" s="46"/>
      <c r="F63" s="46">
        <v>10000000</v>
      </c>
      <c r="G63" s="46"/>
    </row>
    <row r="64" spans="1:7" s="679" customFormat="1" x14ac:dyDescent="0.3">
      <c r="A64" s="595" t="s">
        <v>283</v>
      </c>
      <c r="B64" s="18" t="s">
        <v>1113</v>
      </c>
      <c r="C64" s="45">
        <f>SUM(C65:C71)</f>
        <v>526620000</v>
      </c>
      <c r="D64" s="45"/>
      <c r="E64" s="45"/>
      <c r="F64" s="45">
        <f>SUM(F65:F71)</f>
        <v>526620000</v>
      </c>
      <c r="G64" s="46"/>
    </row>
    <row r="65" spans="1:7" s="679" customFormat="1" x14ac:dyDescent="0.3">
      <c r="A65" s="595"/>
      <c r="B65" s="18" t="s">
        <v>1114</v>
      </c>
      <c r="C65" s="45">
        <f t="shared" si="8"/>
        <v>350000000</v>
      </c>
      <c r="D65" s="46"/>
      <c r="E65" s="46"/>
      <c r="F65" s="46">
        <f>700*500000</f>
        <v>350000000</v>
      </c>
      <c r="G65" s="46"/>
    </row>
    <row r="66" spans="1:7" s="679" customFormat="1" ht="33" x14ac:dyDescent="0.3">
      <c r="A66" s="595"/>
      <c r="B66" s="18" t="s">
        <v>49</v>
      </c>
      <c r="C66" s="45">
        <f t="shared" si="8"/>
        <v>25000000</v>
      </c>
      <c r="D66" s="46"/>
      <c r="E66" s="46"/>
      <c r="F66" s="46">
        <v>25000000</v>
      </c>
      <c r="G66" s="46"/>
    </row>
    <row r="67" spans="1:7" s="679" customFormat="1" x14ac:dyDescent="0.3">
      <c r="A67" s="595"/>
      <c r="B67" s="18" t="s">
        <v>50</v>
      </c>
      <c r="C67" s="45">
        <f t="shared" si="8"/>
        <v>40000000</v>
      </c>
      <c r="D67" s="46"/>
      <c r="E67" s="46"/>
      <c r="F67" s="46">
        <v>40000000</v>
      </c>
      <c r="G67" s="46"/>
    </row>
    <row r="68" spans="1:7" s="679" customFormat="1" x14ac:dyDescent="0.3">
      <c r="A68" s="595"/>
      <c r="B68" s="18" t="s">
        <v>51</v>
      </c>
      <c r="C68" s="45">
        <f t="shared" si="8"/>
        <v>50000000</v>
      </c>
      <c r="D68" s="46"/>
      <c r="E68" s="46"/>
      <c r="F68" s="46">
        <v>50000000</v>
      </c>
      <c r="G68" s="46"/>
    </row>
    <row r="69" spans="1:7" s="679" customFormat="1" x14ac:dyDescent="0.3">
      <c r="A69" s="595"/>
      <c r="B69" s="18" t="s">
        <v>42</v>
      </c>
      <c r="C69" s="45">
        <f t="shared" si="8"/>
        <v>34620000</v>
      </c>
      <c r="D69" s="46"/>
      <c r="E69" s="46"/>
      <c r="F69" s="46">
        <v>34620000</v>
      </c>
      <c r="G69" s="46"/>
    </row>
    <row r="70" spans="1:7" s="679" customFormat="1" x14ac:dyDescent="0.3">
      <c r="A70" s="595"/>
      <c r="B70" s="18" t="s">
        <v>52</v>
      </c>
      <c r="C70" s="45">
        <f t="shared" si="8"/>
        <v>12000000</v>
      </c>
      <c r="D70" s="46"/>
      <c r="E70" s="46"/>
      <c r="F70" s="46">
        <v>12000000</v>
      </c>
      <c r="G70" s="46"/>
    </row>
    <row r="71" spans="1:7" s="679" customFormat="1" x14ac:dyDescent="0.3">
      <c r="A71" s="595"/>
      <c r="B71" s="18" t="s">
        <v>53</v>
      </c>
      <c r="C71" s="45">
        <f t="shared" si="8"/>
        <v>15000000</v>
      </c>
      <c r="D71" s="46"/>
      <c r="E71" s="46"/>
      <c r="F71" s="46">
        <v>15000000</v>
      </c>
      <c r="G71" s="46"/>
    </row>
    <row r="72" spans="1:7" ht="33" x14ac:dyDescent="0.3">
      <c r="A72" s="44" t="s">
        <v>559</v>
      </c>
      <c r="B72" s="10" t="s">
        <v>455</v>
      </c>
      <c r="C72" s="35">
        <f>SUM(C73:C74)</f>
        <v>109561016</v>
      </c>
      <c r="D72" s="35">
        <f>SUM(D73:D74)</f>
        <v>0</v>
      </c>
      <c r="E72" s="35">
        <f>SUM(E73:E74)</f>
        <v>0</v>
      </c>
      <c r="F72" s="35">
        <f>SUM(F73:F74)</f>
        <v>109561016</v>
      </c>
      <c r="G72" s="35"/>
    </row>
    <row r="73" spans="1:7" x14ac:dyDescent="0.3">
      <c r="A73" s="44"/>
      <c r="B73" s="55" t="s">
        <v>407</v>
      </c>
      <c r="C73" s="42">
        <f>D73+E73+F73</f>
        <v>50000000</v>
      </c>
      <c r="D73" s="42"/>
      <c r="E73" s="42"/>
      <c r="F73" s="42">
        <v>50000000</v>
      </c>
      <c r="G73" s="35"/>
    </row>
    <row r="74" spans="1:7" x14ac:dyDescent="0.3">
      <c r="A74" s="44"/>
      <c r="B74" s="41" t="s">
        <v>408</v>
      </c>
      <c r="C74" s="42">
        <f>D74+E74+F74</f>
        <v>59561016</v>
      </c>
      <c r="D74" s="42"/>
      <c r="E74" s="42"/>
      <c r="F74" s="42">
        <v>59561016</v>
      </c>
      <c r="G74" s="35"/>
    </row>
    <row r="75" spans="1:7" s="59" customFormat="1" ht="33" x14ac:dyDescent="0.25">
      <c r="A75" s="134" t="s">
        <v>227</v>
      </c>
      <c r="B75" s="136" t="s">
        <v>279</v>
      </c>
      <c r="C75" s="143">
        <f>C76+C84</f>
        <v>7586920107</v>
      </c>
      <c r="D75" s="143">
        <f>D76+D84</f>
        <v>3782781123</v>
      </c>
      <c r="E75" s="143">
        <f t="shared" ref="E75:F75" si="9">E76+E84</f>
        <v>2645912200</v>
      </c>
      <c r="F75" s="143">
        <f t="shared" si="9"/>
        <v>1158226784</v>
      </c>
      <c r="G75" s="143"/>
    </row>
    <row r="76" spans="1:7" s="3" customFormat="1" ht="33" x14ac:dyDescent="0.25">
      <c r="A76" s="11">
        <v>1</v>
      </c>
      <c r="B76" s="48" t="s">
        <v>456</v>
      </c>
      <c r="C76" s="9">
        <f>SUM(C77:C83)</f>
        <v>234000000</v>
      </c>
      <c r="D76" s="9">
        <f>SUM(D77:D83)</f>
        <v>0</v>
      </c>
      <c r="E76" s="9">
        <f>SUM(E77:E83)</f>
        <v>40000000</v>
      </c>
      <c r="F76" s="9">
        <f>SUM(F77:F83)</f>
        <v>194000000</v>
      </c>
      <c r="G76" s="9"/>
    </row>
    <row r="77" spans="1:7" s="683" customFormat="1" ht="49.5" x14ac:dyDescent="0.3">
      <c r="A77" s="590" t="s">
        <v>282</v>
      </c>
      <c r="B77" s="591" t="s">
        <v>1025</v>
      </c>
      <c r="C77" s="144">
        <f t="shared" ref="C77:C83" si="10">D77+E77+F77</f>
        <v>35000000</v>
      </c>
      <c r="D77" s="592"/>
      <c r="E77" s="682"/>
      <c r="F77" s="592">
        <v>35000000</v>
      </c>
      <c r="G77" s="592"/>
    </row>
    <row r="78" spans="1:7" s="683" customFormat="1" ht="33" x14ac:dyDescent="0.3">
      <c r="A78" s="590" t="s">
        <v>283</v>
      </c>
      <c r="B78" s="591" t="s">
        <v>1026</v>
      </c>
      <c r="C78" s="144">
        <f t="shared" si="10"/>
        <v>30000000</v>
      </c>
      <c r="D78" s="592"/>
      <c r="E78" s="682"/>
      <c r="F78" s="592">
        <v>30000000</v>
      </c>
      <c r="G78" s="592"/>
    </row>
    <row r="79" spans="1:7" s="683" customFormat="1" ht="33" x14ac:dyDescent="0.3">
      <c r="A79" s="590" t="s">
        <v>287</v>
      </c>
      <c r="B79" s="591" t="s">
        <v>460</v>
      </c>
      <c r="C79" s="144">
        <f t="shared" si="10"/>
        <v>10000000</v>
      </c>
      <c r="D79" s="592"/>
      <c r="E79" s="682"/>
      <c r="F79" s="592">
        <v>10000000</v>
      </c>
      <c r="G79" s="592"/>
    </row>
    <row r="80" spans="1:7" s="683" customFormat="1" ht="33" x14ac:dyDescent="0.3">
      <c r="A80" s="590" t="s">
        <v>295</v>
      </c>
      <c r="B80" s="591" t="s">
        <v>1115</v>
      </c>
      <c r="C80" s="144">
        <f t="shared" si="10"/>
        <v>40000000</v>
      </c>
      <c r="D80" s="592"/>
      <c r="E80" s="592">
        <v>40000000</v>
      </c>
      <c r="F80" s="592"/>
      <c r="G80" s="592"/>
    </row>
    <row r="81" spans="1:7" x14ac:dyDescent="0.3">
      <c r="A81" s="590" t="s">
        <v>1086</v>
      </c>
      <c r="B81" s="40" t="s">
        <v>1116</v>
      </c>
      <c r="C81" s="144">
        <f t="shared" si="10"/>
        <v>44000000</v>
      </c>
      <c r="D81" s="35"/>
      <c r="E81" s="684"/>
      <c r="F81" s="35">
        <v>44000000</v>
      </c>
      <c r="G81" s="35"/>
    </row>
    <row r="82" spans="1:7" ht="33" x14ac:dyDescent="0.3">
      <c r="A82" s="590" t="s">
        <v>1087</v>
      </c>
      <c r="B82" s="666" t="s">
        <v>1117</v>
      </c>
      <c r="C82" s="144">
        <f t="shared" si="10"/>
        <v>70000000</v>
      </c>
      <c r="D82" s="35"/>
      <c r="E82" s="667"/>
      <c r="F82" s="35">
        <v>70000000</v>
      </c>
      <c r="G82" s="667"/>
    </row>
    <row r="83" spans="1:7" ht="33" x14ac:dyDescent="0.3">
      <c r="A83" s="590" t="s">
        <v>1088</v>
      </c>
      <c r="B83" s="666" t="s">
        <v>1027</v>
      </c>
      <c r="C83" s="144">
        <f t="shared" si="10"/>
        <v>5000000</v>
      </c>
      <c r="D83" s="35"/>
      <c r="E83" s="667"/>
      <c r="F83" s="35">
        <v>5000000</v>
      </c>
      <c r="G83" s="667"/>
    </row>
    <row r="84" spans="1:7" x14ac:dyDescent="0.3">
      <c r="A84" s="44">
        <v>2</v>
      </c>
      <c r="B84" s="685" t="s">
        <v>1013</v>
      </c>
      <c r="C84" s="35">
        <f>C85+C99+C115+C134+C139</f>
        <v>7352920107</v>
      </c>
      <c r="D84" s="35">
        <f>D85+D99+D115+D134+D139</f>
        <v>3782781123</v>
      </c>
      <c r="E84" s="35">
        <f>E85+E99+E115+E134+E139</f>
        <v>2605912200</v>
      </c>
      <c r="F84" s="35">
        <f>F85+F99+F115+F134+F139</f>
        <v>964226784</v>
      </c>
      <c r="G84" s="35"/>
    </row>
    <row r="85" spans="1:7" ht="33" x14ac:dyDescent="0.3">
      <c r="A85" s="44" t="s">
        <v>551</v>
      </c>
      <c r="B85" s="680" t="s">
        <v>1059</v>
      </c>
      <c r="C85" s="35">
        <f>SUM(C86:C98)</f>
        <v>2765193323</v>
      </c>
      <c r="D85" s="35">
        <f>SUM(D86:D98)</f>
        <v>1032281123</v>
      </c>
      <c r="E85" s="35">
        <f t="shared" ref="E85:F85" si="11">SUM(E86:E98)</f>
        <v>1486912200</v>
      </c>
      <c r="F85" s="35">
        <f t="shared" si="11"/>
        <v>246000000</v>
      </c>
      <c r="G85" s="35"/>
    </row>
    <row r="86" spans="1:7" ht="49.5" x14ac:dyDescent="0.3">
      <c r="A86" s="44" t="s">
        <v>282</v>
      </c>
      <c r="B86" s="40" t="s">
        <v>1029</v>
      </c>
      <c r="C86" s="35">
        <f t="shared" ref="C86:C98" si="12">D86+E86+F86</f>
        <v>200000000</v>
      </c>
      <c r="D86" s="35">
        <v>100000000</v>
      </c>
      <c r="E86" s="35">
        <v>100000000</v>
      </c>
      <c r="F86" s="684"/>
      <c r="G86" s="35"/>
    </row>
    <row r="87" spans="1:7" ht="33" x14ac:dyDescent="0.3">
      <c r="A87" s="44" t="s">
        <v>283</v>
      </c>
      <c r="B87" s="40" t="s">
        <v>28</v>
      </c>
      <c r="C87" s="35">
        <f t="shared" si="12"/>
        <v>200000000</v>
      </c>
      <c r="D87" s="684"/>
      <c r="E87" s="35">
        <v>200000000</v>
      </c>
      <c r="F87" s="684"/>
      <c r="G87" s="35"/>
    </row>
    <row r="88" spans="1:7" ht="49.5" x14ac:dyDescent="0.3">
      <c r="A88" s="56" t="s">
        <v>287</v>
      </c>
      <c r="B88" s="593" t="s">
        <v>1058</v>
      </c>
      <c r="C88" s="35">
        <f t="shared" si="12"/>
        <v>200000000</v>
      </c>
      <c r="D88" s="35">
        <v>100000000</v>
      </c>
      <c r="E88" s="57">
        <v>100000000</v>
      </c>
      <c r="F88" s="594"/>
      <c r="G88" s="57"/>
    </row>
    <row r="89" spans="1:7" ht="99" x14ac:dyDescent="0.3">
      <c r="A89" s="56" t="s">
        <v>295</v>
      </c>
      <c r="B89" s="593" t="s">
        <v>1173</v>
      </c>
      <c r="C89" s="35">
        <f t="shared" si="12"/>
        <v>300000000</v>
      </c>
      <c r="D89" s="57">
        <v>200000000</v>
      </c>
      <c r="E89" s="57"/>
      <c r="F89" s="57">
        <v>100000000</v>
      </c>
      <c r="G89" s="57"/>
    </row>
    <row r="90" spans="1:7" ht="49.5" x14ac:dyDescent="0.3">
      <c r="A90" s="44" t="s">
        <v>1086</v>
      </c>
      <c r="B90" s="40" t="s">
        <v>1028</v>
      </c>
      <c r="C90" s="35">
        <f t="shared" si="12"/>
        <v>700000000</v>
      </c>
      <c r="D90" s="35">
        <v>500000000</v>
      </c>
      <c r="E90" s="35">
        <v>200000000</v>
      </c>
      <c r="F90" s="35">
        <v>0</v>
      </c>
      <c r="G90" s="35"/>
    </row>
    <row r="91" spans="1:7" ht="49.5" x14ac:dyDescent="0.3">
      <c r="A91" s="56" t="s">
        <v>1087</v>
      </c>
      <c r="B91" s="593" t="s">
        <v>1118</v>
      </c>
      <c r="C91" s="35">
        <f t="shared" si="12"/>
        <v>256912200</v>
      </c>
      <c r="D91" s="57"/>
      <c r="E91" s="57">
        <v>256912200</v>
      </c>
      <c r="F91" s="57"/>
      <c r="G91" s="57"/>
    </row>
    <row r="92" spans="1:7" s="3" customFormat="1" ht="49.5" x14ac:dyDescent="0.25">
      <c r="A92" s="11" t="s">
        <v>1088</v>
      </c>
      <c r="B92" s="10" t="s">
        <v>409</v>
      </c>
      <c r="C92" s="35">
        <f t="shared" si="12"/>
        <v>218281123</v>
      </c>
      <c r="D92" s="19">
        <v>132281123</v>
      </c>
      <c r="E92" s="12"/>
      <c r="F92" s="9">
        <v>86000000</v>
      </c>
      <c r="G92" s="9"/>
    </row>
    <row r="93" spans="1:7" ht="66" x14ac:dyDescent="0.3">
      <c r="A93" s="44" t="s">
        <v>1119</v>
      </c>
      <c r="B93" s="666" t="s">
        <v>37</v>
      </c>
      <c r="C93" s="42"/>
      <c r="D93" s="684"/>
      <c r="E93" s="35"/>
      <c r="F93" s="35"/>
      <c r="G93" s="35"/>
    </row>
    <row r="94" spans="1:7" ht="33" x14ac:dyDescent="0.3">
      <c r="A94" s="44"/>
      <c r="B94" s="668" t="s">
        <v>38</v>
      </c>
      <c r="C94" s="42">
        <f t="shared" si="12"/>
        <v>150000000</v>
      </c>
      <c r="D94" s="684"/>
      <c r="E94" s="42">
        <v>150000000</v>
      </c>
      <c r="F94" s="42"/>
      <c r="G94" s="35"/>
    </row>
    <row r="95" spans="1:7" ht="33" x14ac:dyDescent="0.3">
      <c r="A95" s="44"/>
      <c r="B95" s="668" t="s">
        <v>304</v>
      </c>
      <c r="C95" s="42">
        <f t="shared" si="12"/>
        <v>300000000</v>
      </c>
      <c r="D95" s="684"/>
      <c r="E95" s="42">
        <v>300000000</v>
      </c>
      <c r="F95" s="42"/>
      <c r="G95" s="35"/>
    </row>
    <row r="96" spans="1:7" x14ac:dyDescent="0.3">
      <c r="A96" s="44"/>
      <c r="B96" s="668" t="s">
        <v>40</v>
      </c>
      <c r="C96" s="42">
        <f t="shared" si="12"/>
        <v>30000000</v>
      </c>
      <c r="D96" s="684"/>
      <c r="E96" s="42">
        <v>30000000</v>
      </c>
      <c r="F96" s="42"/>
      <c r="G96" s="35"/>
    </row>
    <row r="97" spans="1:7" x14ac:dyDescent="0.3">
      <c r="A97" s="44"/>
      <c r="B97" s="668" t="s">
        <v>39</v>
      </c>
      <c r="C97" s="42">
        <f t="shared" si="12"/>
        <v>50000000</v>
      </c>
      <c r="D97" s="684"/>
      <c r="E97" s="42">
        <v>50000000</v>
      </c>
      <c r="F97" s="42"/>
      <c r="G97" s="35"/>
    </row>
    <row r="98" spans="1:7" s="3" customFormat="1" ht="40.5" customHeight="1" x14ac:dyDescent="0.25">
      <c r="A98" s="11" t="s">
        <v>1120</v>
      </c>
      <c r="B98" s="10" t="s">
        <v>1121</v>
      </c>
      <c r="C98" s="35">
        <f t="shared" si="12"/>
        <v>160000000</v>
      </c>
      <c r="D98" s="19"/>
      <c r="E98" s="9">
        <v>100000000</v>
      </c>
      <c r="F98" s="9">
        <v>60000000</v>
      </c>
      <c r="G98" s="9"/>
    </row>
    <row r="99" spans="1:7" x14ac:dyDescent="0.3">
      <c r="A99" s="44" t="s">
        <v>555</v>
      </c>
      <c r="B99" s="685" t="s">
        <v>1035</v>
      </c>
      <c r="C99" s="35">
        <f>C100+C108+C114</f>
        <v>1540000000</v>
      </c>
      <c r="D99" s="35">
        <f t="shared" ref="D99:E99" si="13">D100+D108+D114</f>
        <v>1340000000</v>
      </c>
      <c r="E99" s="35">
        <f t="shared" si="13"/>
        <v>200000000</v>
      </c>
      <c r="F99" s="35">
        <f t="shared" ref="F99" si="14">F100+F108</f>
        <v>0</v>
      </c>
      <c r="G99" s="35"/>
    </row>
    <row r="100" spans="1:7" s="683" customFormat="1" ht="49.5" x14ac:dyDescent="0.3">
      <c r="A100" s="89" t="s">
        <v>282</v>
      </c>
      <c r="B100" s="90" t="s">
        <v>1122</v>
      </c>
      <c r="C100" s="91">
        <f>SUM(C101:C107)</f>
        <v>770000000</v>
      </c>
      <c r="D100" s="91">
        <f>SUM(D101:D107)</f>
        <v>690000000</v>
      </c>
      <c r="E100" s="91">
        <f>SUM(E101:E107)</f>
        <v>80000000</v>
      </c>
      <c r="F100" s="91">
        <f>SUM(F101:F107)</f>
        <v>0</v>
      </c>
      <c r="G100" s="91"/>
    </row>
    <row r="101" spans="1:7" s="683" customFormat="1" x14ac:dyDescent="0.3">
      <c r="A101" s="89"/>
      <c r="B101" s="92" t="s">
        <v>1060</v>
      </c>
      <c r="C101" s="93">
        <f t="shared" ref="C101:C107" si="15">D101+E101+F101</f>
        <v>200000000</v>
      </c>
      <c r="D101" s="93">
        <v>200000000</v>
      </c>
      <c r="E101" s="93"/>
      <c r="F101" s="93"/>
      <c r="G101" s="91"/>
    </row>
    <row r="102" spans="1:7" s="683" customFormat="1" x14ac:dyDescent="0.3">
      <c r="A102" s="89"/>
      <c r="B102" s="92" t="s">
        <v>29</v>
      </c>
      <c r="C102" s="93">
        <f>D102+E102+F102</f>
        <v>300000000</v>
      </c>
      <c r="D102" s="93">
        <v>300000000</v>
      </c>
      <c r="E102" s="93"/>
      <c r="F102" s="93"/>
      <c r="G102" s="91"/>
    </row>
    <row r="103" spans="1:7" s="683" customFormat="1" x14ac:dyDescent="0.3">
      <c r="A103" s="89"/>
      <c r="B103" s="92" t="s">
        <v>1061</v>
      </c>
      <c r="C103" s="93">
        <f t="shared" si="15"/>
        <v>50000000</v>
      </c>
      <c r="D103" s="93">
        <v>50000000</v>
      </c>
      <c r="E103" s="93"/>
      <c r="F103" s="93"/>
      <c r="G103" s="91"/>
    </row>
    <row r="104" spans="1:7" s="683" customFormat="1" x14ac:dyDescent="0.3">
      <c r="A104" s="89"/>
      <c r="B104" s="92" t="s">
        <v>30</v>
      </c>
      <c r="C104" s="93">
        <f t="shared" si="15"/>
        <v>100000000</v>
      </c>
      <c r="D104" s="93">
        <v>100000000</v>
      </c>
      <c r="E104" s="93"/>
      <c r="F104" s="93"/>
      <c r="G104" s="91"/>
    </row>
    <row r="105" spans="1:7" s="683" customFormat="1" ht="23.25" customHeight="1" x14ac:dyDescent="0.3">
      <c r="A105" s="89"/>
      <c r="B105" s="92" t="s">
        <v>31</v>
      </c>
      <c r="C105" s="93">
        <f t="shared" si="15"/>
        <v>80000000</v>
      </c>
      <c r="D105" s="93"/>
      <c r="E105" s="93">
        <v>80000000</v>
      </c>
      <c r="F105" s="93"/>
      <c r="G105" s="91"/>
    </row>
    <row r="106" spans="1:7" s="683" customFormat="1" x14ac:dyDescent="0.3">
      <c r="A106" s="89"/>
      <c r="B106" s="92" t="s">
        <v>33</v>
      </c>
      <c r="C106" s="93">
        <f t="shared" si="15"/>
        <v>20000000</v>
      </c>
      <c r="D106" s="93">
        <v>20000000</v>
      </c>
      <c r="E106" s="93"/>
      <c r="F106" s="93"/>
      <c r="G106" s="91"/>
    </row>
    <row r="107" spans="1:7" s="683" customFormat="1" x14ac:dyDescent="0.3">
      <c r="A107" s="89"/>
      <c r="B107" s="94" t="s">
        <v>1123</v>
      </c>
      <c r="C107" s="93">
        <f t="shared" si="15"/>
        <v>20000000</v>
      </c>
      <c r="D107" s="95">
        <v>20000000</v>
      </c>
      <c r="E107" s="95"/>
      <c r="F107" s="95"/>
      <c r="G107" s="96"/>
    </row>
    <row r="108" spans="1:7" s="683" customFormat="1" ht="36.75" customHeight="1" x14ac:dyDescent="0.3">
      <c r="A108" s="89" t="s">
        <v>283</v>
      </c>
      <c r="B108" s="90" t="s">
        <v>1124</v>
      </c>
      <c r="C108" s="91">
        <f>SUM(C109:C113)</f>
        <v>670000000</v>
      </c>
      <c r="D108" s="91">
        <f>SUM(D109:D113)</f>
        <v>550000000</v>
      </c>
      <c r="E108" s="91">
        <f>SUM(E109:E113)</f>
        <v>120000000</v>
      </c>
      <c r="F108" s="91">
        <f>SUM(F109:F113)</f>
        <v>0</v>
      </c>
      <c r="G108" s="91"/>
    </row>
    <row r="109" spans="1:7" s="683" customFormat="1" ht="20.25" customHeight="1" x14ac:dyDescent="0.3">
      <c r="A109" s="89"/>
      <c r="B109" s="92" t="s">
        <v>1031</v>
      </c>
      <c r="C109" s="93">
        <f>D109+E109+F109</f>
        <v>200000000</v>
      </c>
      <c r="D109" s="93">
        <v>200000000</v>
      </c>
      <c r="E109" s="93"/>
      <c r="F109" s="93"/>
      <c r="G109" s="91"/>
    </row>
    <row r="110" spans="1:7" s="683" customFormat="1" ht="20.25" customHeight="1" x14ac:dyDescent="0.3">
      <c r="A110" s="89"/>
      <c r="B110" s="92" t="s">
        <v>1032</v>
      </c>
      <c r="C110" s="93">
        <f>D110+E110+F110</f>
        <v>300000000</v>
      </c>
      <c r="D110" s="93">
        <v>300000000</v>
      </c>
      <c r="E110" s="93"/>
      <c r="F110" s="93"/>
      <c r="G110" s="91"/>
    </row>
    <row r="111" spans="1:7" s="683" customFormat="1" ht="20.25" customHeight="1" x14ac:dyDescent="0.3">
      <c r="A111" s="89"/>
      <c r="B111" s="92" t="s">
        <v>1062</v>
      </c>
      <c r="C111" s="93">
        <f>D111+E111+F111</f>
        <v>50000000</v>
      </c>
      <c r="D111" s="93">
        <v>50000000</v>
      </c>
      <c r="E111" s="93"/>
      <c r="F111" s="93"/>
      <c r="G111" s="91"/>
    </row>
    <row r="112" spans="1:7" s="683" customFormat="1" ht="20.25" customHeight="1" x14ac:dyDescent="0.3">
      <c r="A112" s="89"/>
      <c r="B112" s="92" t="s">
        <v>1033</v>
      </c>
      <c r="C112" s="93">
        <f>D112+E112+F112</f>
        <v>70000000</v>
      </c>
      <c r="D112" s="93"/>
      <c r="E112" s="93">
        <v>70000000</v>
      </c>
      <c r="F112" s="93"/>
      <c r="G112" s="91"/>
    </row>
    <row r="113" spans="1:7" s="683" customFormat="1" ht="20.25" customHeight="1" x14ac:dyDescent="0.3">
      <c r="A113" s="89"/>
      <c r="B113" s="92" t="s">
        <v>1034</v>
      </c>
      <c r="C113" s="93">
        <f>D113+E113+F113</f>
        <v>50000000</v>
      </c>
      <c r="D113" s="93"/>
      <c r="E113" s="93">
        <v>50000000</v>
      </c>
      <c r="F113" s="93"/>
      <c r="G113" s="91"/>
    </row>
    <row r="114" spans="1:7" s="683" customFormat="1" ht="36.75" customHeight="1" x14ac:dyDescent="0.3">
      <c r="A114" s="89" t="s">
        <v>287</v>
      </c>
      <c r="B114" s="90" t="s">
        <v>1168</v>
      </c>
      <c r="C114" s="91">
        <f>SUM(D114:F114)</f>
        <v>100000000</v>
      </c>
      <c r="D114" s="91">
        <v>100000000</v>
      </c>
      <c r="E114" s="91"/>
      <c r="F114" s="91"/>
      <c r="G114" s="91"/>
    </row>
    <row r="115" spans="1:7" s="3" customFormat="1" ht="23.25" customHeight="1" x14ac:dyDescent="0.25">
      <c r="A115" s="11" t="s">
        <v>559</v>
      </c>
      <c r="B115" s="13" t="s">
        <v>1036</v>
      </c>
      <c r="C115" s="9">
        <f>SUM(C116:C133)</f>
        <v>620000000</v>
      </c>
      <c r="D115" s="9">
        <f>SUM(D116:D133)</f>
        <v>120000000</v>
      </c>
      <c r="E115" s="9">
        <f>SUM(E116:E133)</f>
        <v>375000000</v>
      </c>
      <c r="F115" s="9">
        <f>SUM(F116:F133)</f>
        <v>125000000</v>
      </c>
      <c r="G115" s="9"/>
    </row>
    <row r="116" spans="1:7" s="3" customFormat="1" ht="33" x14ac:dyDescent="0.25">
      <c r="A116" s="11"/>
      <c r="B116" s="13" t="s">
        <v>1037</v>
      </c>
      <c r="C116" s="9">
        <f t="shared" ref="C116:C118" si="16">D116+E116+F116</f>
        <v>80000000</v>
      </c>
      <c r="D116" s="19">
        <v>80000000</v>
      </c>
      <c r="E116" s="9"/>
      <c r="F116" s="9"/>
      <c r="G116" s="9"/>
    </row>
    <row r="117" spans="1:7" s="3" customFormat="1" ht="16.5" x14ac:dyDescent="0.25">
      <c r="A117" s="11"/>
      <c r="B117" s="13" t="s">
        <v>1038</v>
      </c>
      <c r="C117" s="9">
        <f t="shared" si="16"/>
        <v>20000000</v>
      </c>
      <c r="D117" s="19">
        <v>20000000</v>
      </c>
      <c r="E117" s="9"/>
      <c r="F117" s="9"/>
      <c r="G117" s="9"/>
    </row>
    <row r="118" spans="1:7" s="3" customFormat="1" ht="33" x14ac:dyDescent="0.25">
      <c r="A118" s="11"/>
      <c r="B118" s="13" t="s">
        <v>1039</v>
      </c>
      <c r="C118" s="9">
        <f t="shared" si="16"/>
        <v>20000000</v>
      </c>
      <c r="D118" s="19">
        <v>20000000</v>
      </c>
      <c r="E118" s="9"/>
      <c r="F118" s="9"/>
      <c r="G118" s="9"/>
    </row>
    <row r="119" spans="1:7" s="3" customFormat="1" ht="33" x14ac:dyDescent="0.25">
      <c r="A119" s="11"/>
      <c r="B119" s="10" t="s">
        <v>245</v>
      </c>
      <c r="C119" s="9">
        <f t="shared" ref="C119:C133" si="17">D119+F119+E119</f>
        <v>30000000</v>
      </c>
      <c r="D119" s="12"/>
      <c r="E119" s="9">
        <v>22500000</v>
      </c>
      <c r="F119" s="9">
        <v>7500000</v>
      </c>
      <c r="G119" s="9"/>
    </row>
    <row r="120" spans="1:7" s="3" customFormat="1" ht="16.5" x14ac:dyDescent="0.25">
      <c r="A120" s="11"/>
      <c r="B120" s="10" t="s">
        <v>246</v>
      </c>
      <c r="C120" s="9">
        <f t="shared" si="17"/>
        <v>5000000</v>
      </c>
      <c r="D120" s="12"/>
      <c r="E120" s="9">
        <v>3750000</v>
      </c>
      <c r="F120" s="9">
        <v>1250000</v>
      </c>
      <c r="G120" s="9"/>
    </row>
    <row r="121" spans="1:7" s="3" customFormat="1" ht="16.5" x14ac:dyDescent="0.25">
      <c r="A121" s="11"/>
      <c r="B121" s="10" t="s">
        <v>247</v>
      </c>
      <c r="C121" s="9">
        <f t="shared" si="17"/>
        <v>10000000</v>
      </c>
      <c r="D121" s="12"/>
      <c r="E121" s="9">
        <v>7500000</v>
      </c>
      <c r="F121" s="9">
        <v>2500000</v>
      </c>
      <c r="G121" s="9"/>
    </row>
    <row r="122" spans="1:7" s="3" customFormat="1" ht="16.5" x14ac:dyDescent="0.25">
      <c r="A122" s="11"/>
      <c r="B122" s="10" t="s">
        <v>248</v>
      </c>
      <c r="C122" s="9">
        <f t="shared" si="17"/>
        <v>20000000</v>
      </c>
      <c r="D122" s="12"/>
      <c r="E122" s="9">
        <v>15000000</v>
      </c>
      <c r="F122" s="9">
        <v>5000000</v>
      </c>
      <c r="G122" s="9"/>
    </row>
    <row r="123" spans="1:7" s="3" customFormat="1" ht="16.5" x14ac:dyDescent="0.25">
      <c r="A123" s="11"/>
      <c r="B123" s="10" t="s">
        <v>249</v>
      </c>
      <c r="C123" s="9">
        <f t="shared" si="17"/>
        <v>20000000</v>
      </c>
      <c r="D123" s="12"/>
      <c r="E123" s="9">
        <v>15000000</v>
      </c>
      <c r="F123" s="9">
        <v>5000000</v>
      </c>
      <c r="G123" s="9"/>
    </row>
    <row r="124" spans="1:7" s="3" customFormat="1" ht="16.5" x14ac:dyDescent="0.25">
      <c r="A124" s="11"/>
      <c r="B124" s="10" t="s">
        <v>250</v>
      </c>
      <c r="C124" s="9">
        <f t="shared" si="17"/>
        <v>25000000</v>
      </c>
      <c r="D124" s="12"/>
      <c r="E124" s="9">
        <v>18750000</v>
      </c>
      <c r="F124" s="9">
        <v>6250000</v>
      </c>
      <c r="G124" s="9"/>
    </row>
    <row r="125" spans="1:7" s="3" customFormat="1" ht="16.5" x14ac:dyDescent="0.25">
      <c r="A125" s="11"/>
      <c r="B125" s="10" t="s">
        <v>251</v>
      </c>
      <c r="C125" s="9">
        <f t="shared" si="17"/>
        <v>20000000</v>
      </c>
      <c r="D125" s="12"/>
      <c r="E125" s="9">
        <v>15000000</v>
      </c>
      <c r="F125" s="9">
        <v>5000000</v>
      </c>
      <c r="G125" s="9"/>
    </row>
    <row r="126" spans="1:7" s="3" customFormat="1" ht="16.5" x14ac:dyDescent="0.25">
      <c r="A126" s="11"/>
      <c r="B126" s="10" t="s">
        <v>252</v>
      </c>
      <c r="C126" s="9">
        <f t="shared" si="17"/>
        <v>1000000</v>
      </c>
      <c r="D126" s="12"/>
      <c r="E126" s="9">
        <v>750000</v>
      </c>
      <c r="F126" s="9">
        <v>250000</v>
      </c>
      <c r="G126" s="9"/>
    </row>
    <row r="127" spans="1:7" s="3" customFormat="1" ht="16.5" x14ac:dyDescent="0.25">
      <c r="A127" s="11"/>
      <c r="B127" s="10" t="s">
        <v>274</v>
      </c>
      <c r="C127" s="9">
        <f t="shared" si="17"/>
        <v>10000000</v>
      </c>
      <c r="D127" s="12"/>
      <c r="E127" s="9">
        <v>7500000</v>
      </c>
      <c r="F127" s="9">
        <v>2500000</v>
      </c>
      <c r="G127" s="9"/>
    </row>
    <row r="128" spans="1:7" s="3" customFormat="1" ht="16.5" x14ac:dyDescent="0.25">
      <c r="A128" s="11"/>
      <c r="B128" s="10" t="s">
        <v>253</v>
      </c>
      <c r="C128" s="9">
        <f t="shared" si="17"/>
        <v>40000000</v>
      </c>
      <c r="D128" s="12"/>
      <c r="E128" s="9">
        <v>30000000</v>
      </c>
      <c r="F128" s="9">
        <v>10000000</v>
      </c>
      <c r="G128" s="9"/>
    </row>
    <row r="129" spans="1:7" s="3" customFormat="1" ht="16.5" x14ac:dyDescent="0.25">
      <c r="A129" s="11"/>
      <c r="B129" s="10" t="s">
        <v>254</v>
      </c>
      <c r="C129" s="9">
        <f t="shared" si="17"/>
        <v>19000000</v>
      </c>
      <c r="D129" s="12"/>
      <c r="E129" s="9">
        <v>14250000</v>
      </c>
      <c r="F129" s="9">
        <v>4750000</v>
      </c>
      <c r="G129" s="9"/>
    </row>
    <row r="130" spans="1:7" x14ac:dyDescent="0.3">
      <c r="A130" s="44"/>
      <c r="B130" s="40" t="s">
        <v>35</v>
      </c>
      <c r="C130" s="9">
        <f t="shared" si="17"/>
        <v>53200000</v>
      </c>
      <c r="D130" s="684"/>
      <c r="E130" s="35">
        <v>39900000</v>
      </c>
      <c r="F130" s="9">
        <v>13300000</v>
      </c>
      <c r="G130" s="35"/>
    </row>
    <row r="131" spans="1:7" x14ac:dyDescent="0.3">
      <c r="A131" s="44"/>
      <c r="B131" s="40" t="s">
        <v>1078</v>
      </c>
      <c r="C131" s="9">
        <f t="shared" si="17"/>
        <v>63200000</v>
      </c>
      <c r="D131" s="684"/>
      <c r="E131" s="35">
        <v>47400000</v>
      </c>
      <c r="F131" s="9">
        <v>15800000</v>
      </c>
      <c r="G131" s="35"/>
    </row>
    <row r="132" spans="1:7" x14ac:dyDescent="0.3">
      <c r="A132" s="44"/>
      <c r="B132" s="40" t="s">
        <v>34</v>
      </c>
      <c r="C132" s="9">
        <f t="shared" si="17"/>
        <v>105000000</v>
      </c>
      <c r="D132" s="684"/>
      <c r="E132" s="35">
        <v>78750000</v>
      </c>
      <c r="F132" s="9">
        <v>26250000</v>
      </c>
      <c r="G132" s="35"/>
    </row>
    <row r="133" spans="1:7" x14ac:dyDescent="0.3">
      <c r="A133" s="44"/>
      <c r="B133" s="40" t="s">
        <v>36</v>
      </c>
      <c r="C133" s="9">
        <f t="shared" si="17"/>
        <v>78600000</v>
      </c>
      <c r="D133" s="684"/>
      <c r="E133" s="35">
        <v>58950000</v>
      </c>
      <c r="F133" s="9">
        <v>19650000</v>
      </c>
      <c r="G133" s="35"/>
    </row>
    <row r="134" spans="1:7" x14ac:dyDescent="0.3">
      <c r="A134" s="44" t="s">
        <v>1047</v>
      </c>
      <c r="B134" s="685" t="s">
        <v>1042</v>
      </c>
      <c r="C134" s="9">
        <f>SUM(C135:C138)</f>
        <v>1130500000</v>
      </c>
      <c r="D134" s="9">
        <f>SUM(D135:D138)</f>
        <v>640500000</v>
      </c>
      <c r="E134" s="9">
        <f>SUM(E135:E138)</f>
        <v>280000000</v>
      </c>
      <c r="F134" s="9">
        <f>SUM(F135:F138)</f>
        <v>210000000</v>
      </c>
      <c r="G134" s="35"/>
    </row>
    <row r="135" spans="1:7" ht="33" x14ac:dyDescent="0.3">
      <c r="A135" s="44"/>
      <c r="B135" s="680" t="s">
        <v>1044</v>
      </c>
      <c r="C135" s="62">
        <f t="shared" ref="C135" si="18">D135+E135+F135</f>
        <v>630500000</v>
      </c>
      <c r="D135" s="9">
        <v>630500000</v>
      </c>
      <c r="E135" s="9"/>
      <c r="F135" s="35"/>
      <c r="G135" s="35"/>
    </row>
    <row r="136" spans="1:7" s="63" customFormat="1" ht="33" x14ac:dyDescent="0.25">
      <c r="A136" s="49"/>
      <c r="B136" s="48" t="s">
        <v>1043</v>
      </c>
      <c r="C136" s="62">
        <f>D136+E136+F136</f>
        <v>10000000</v>
      </c>
      <c r="D136" s="62">
        <f>2*5000000</f>
        <v>10000000</v>
      </c>
      <c r="E136" s="62"/>
      <c r="F136" s="62"/>
      <c r="G136" s="62"/>
    </row>
    <row r="137" spans="1:7" s="63" customFormat="1" ht="33" x14ac:dyDescent="0.25">
      <c r="A137" s="49"/>
      <c r="B137" s="48" t="s">
        <v>459</v>
      </c>
      <c r="C137" s="62">
        <f>D137+E137+F137</f>
        <v>210000000</v>
      </c>
      <c r="D137" s="62"/>
      <c r="E137" s="62"/>
      <c r="F137" s="62">
        <f>15*7000000*2</f>
        <v>210000000</v>
      </c>
      <c r="G137" s="62"/>
    </row>
    <row r="138" spans="1:7" s="63" customFormat="1" ht="33" x14ac:dyDescent="0.25">
      <c r="A138" s="49"/>
      <c r="B138" s="48" t="s">
        <v>458</v>
      </c>
      <c r="C138" s="62">
        <f>D138+E138+F138</f>
        <v>280000000</v>
      </c>
      <c r="D138" s="62"/>
      <c r="E138" s="62">
        <v>280000000</v>
      </c>
      <c r="F138" s="62"/>
      <c r="G138" s="62"/>
    </row>
    <row r="139" spans="1:7" s="3" customFormat="1" ht="16.5" x14ac:dyDescent="0.25">
      <c r="A139" s="11" t="s">
        <v>1048</v>
      </c>
      <c r="B139" s="10" t="s">
        <v>19</v>
      </c>
      <c r="C139" s="19">
        <f>SUM(C140:C156)</f>
        <v>1297226784</v>
      </c>
      <c r="D139" s="19">
        <f>SUM(D140:D156)</f>
        <v>650000000</v>
      </c>
      <c r="E139" s="19">
        <f>SUM(E140:E156)</f>
        <v>264000000</v>
      </c>
      <c r="F139" s="19">
        <f>SUM(F140:F156)</f>
        <v>383226784</v>
      </c>
      <c r="G139" s="19"/>
    </row>
    <row r="140" spans="1:7" s="3" customFormat="1" ht="33" x14ac:dyDescent="0.25">
      <c r="A140" s="11"/>
      <c r="B140" s="593" t="s">
        <v>1127</v>
      </c>
      <c r="C140" s="596">
        <f>D140+E140+F140</f>
        <v>68000000</v>
      </c>
      <c r="D140" s="597">
        <v>50000000</v>
      </c>
      <c r="E140" s="597">
        <v>18000000</v>
      </c>
      <c r="F140" s="597"/>
      <c r="G140" s="12"/>
    </row>
    <row r="141" spans="1:7" s="3" customFormat="1" ht="33" x14ac:dyDescent="0.25">
      <c r="A141" s="11"/>
      <c r="B141" s="593" t="s">
        <v>376</v>
      </c>
      <c r="C141" s="596">
        <f t="shared" ref="C141" si="19">D141+E141+F141</f>
        <v>55000000</v>
      </c>
      <c r="D141" s="597">
        <v>30000000</v>
      </c>
      <c r="E141" s="597">
        <v>25000000</v>
      </c>
      <c r="F141" s="598"/>
      <c r="G141" s="12"/>
    </row>
    <row r="142" spans="1:7" ht="49.5" x14ac:dyDescent="0.3">
      <c r="A142" s="44"/>
      <c r="B142" s="599" t="s">
        <v>1162</v>
      </c>
      <c r="C142" s="68">
        <f t="shared" ref="C142:C153" si="20">D142+E142+F142</f>
        <v>280000000</v>
      </c>
      <c r="D142" s="592">
        <v>200000000</v>
      </c>
      <c r="E142" s="592"/>
      <c r="F142" s="592">
        <v>80000000</v>
      </c>
      <c r="G142" s="35"/>
    </row>
    <row r="143" spans="1:7" ht="33" x14ac:dyDescent="0.3">
      <c r="A143" s="56"/>
      <c r="B143" s="600" t="s">
        <v>1030</v>
      </c>
      <c r="C143" s="57">
        <f t="shared" si="20"/>
        <v>30000000</v>
      </c>
      <c r="D143" s="57">
        <v>30000000</v>
      </c>
      <c r="E143" s="57"/>
      <c r="F143" s="57"/>
      <c r="G143" s="57"/>
    </row>
    <row r="144" spans="1:7" s="3" customFormat="1" ht="33" x14ac:dyDescent="0.25">
      <c r="A144" s="11"/>
      <c r="B144" s="10" t="s">
        <v>410</v>
      </c>
      <c r="C144" s="9">
        <f t="shared" si="20"/>
        <v>100000000</v>
      </c>
      <c r="D144" s="9">
        <v>50000000</v>
      </c>
      <c r="E144" s="9">
        <v>20000000</v>
      </c>
      <c r="F144" s="9">
        <v>30000000</v>
      </c>
      <c r="G144" s="9"/>
    </row>
    <row r="145" spans="1:7" s="3" customFormat="1" ht="33" x14ac:dyDescent="0.25">
      <c r="A145" s="11"/>
      <c r="B145" s="10" t="s">
        <v>1125</v>
      </c>
      <c r="C145" s="9">
        <f t="shared" si="20"/>
        <v>35000000</v>
      </c>
      <c r="D145" s="9">
        <v>30000000</v>
      </c>
      <c r="E145" s="9"/>
      <c r="F145" s="9">
        <v>5000000</v>
      </c>
      <c r="G145" s="9"/>
    </row>
    <row r="146" spans="1:7" s="3" customFormat="1" ht="33" x14ac:dyDescent="0.25">
      <c r="A146" s="11"/>
      <c r="B146" s="593" t="s">
        <v>280</v>
      </c>
      <c r="C146" s="601">
        <f t="shared" si="20"/>
        <v>48000000</v>
      </c>
      <c r="D146" s="601">
        <v>48000000</v>
      </c>
      <c r="E146" s="19"/>
      <c r="F146" s="19"/>
      <c r="G146" s="19"/>
    </row>
    <row r="147" spans="1:7" s="3" customFormat="1" ht="33" x14ac:dyDescent="0.25">
      <c r="A147" s="11"/>
      <c r="B147" s="10" t="s">
        <v>370</v>
      </c>
      <c r="C147" s="602">
        <f t="shared" si="20"/>
        <v>15000000</v>
      </c>
      <c r="D147" s="601"/>
      <c r="E147" s="601">
        <v>15000000</v>
      </c>
      <c r="F147" s="601"/>
      <c r="G147" s="9"/>
    </row>
    <row r="148" spans="1:7" s="3" customFormat="1" ht="33" x14ac:dyDescent="0.25">
      <c r="A148" s="11"/>
      <c r="B148" s="10" t="s">
        <v>369</v>
      </c>
      <c r="C148" s="602">
        <f t="shared" si="20"/>
        <v>10000000</v>
      </c>
      <c r="D148" s="144"/>
      <c r="E148" s="144"/>
      <c r="F148" s="144">
        <v>10000000</v>
      </c>
      <c r="G148" s="9"/>
    </row>
    <row r="149" spans="1:7" s="3" customFormat="1" ht="33" x14ac:dyDescent="0.25">
      <c r="A149" s="11"/>
      <c r="B149" s="10" t="s">
        <v>461</v>
      </c>
      <c r="C149" s="601">
        <f t="shared" si="20"/>
        <v>34000000</v>
      </c>
      <c r="D149" s="9">
        <v>34000000</v>
      </c>
      <c r="E149" s="9"/>
      <c r="F149" s="9"/>
      <c r="G149" s="9"/>
    </row>
    <row r="150" spans="1:7" s="3" customFormat="1" ht="16.5" x14ac:dyDescent="0.25">
      <c r="A150" s="11"/>
      <c r="B150" s="10" t="s">
        <v>1142</v>
      </c>
      <c r="C150" s="601">
        <f t="shared" si="20"/>
        <v>50000000</v>
      </c>
      <c r="D150" s="9"/>
      <c r="E150" s="9"/>
      <c r="F150" s="9">
        <v>50000000</v>
      </c>
      <c r="G150" s="9"/>
    </row>
    <row r="151" spans="1:7" s="604" customFormat="1" ht="33" x14ac:dyDescent="0.3">
      <c r="A151" s="603"/>
      <c r="B151" s="593" t="s">
        <v>404</v>
      </c>
      <c r="C151" s="144">
        <f t="shared" si="20"/>
        <v>102226784</v>
      </c>
      <c r="D151" s="144"/>
      <c r="E151" s="144"/>
      <c r="F151" s="144">
        <f>100000000+2226784</f>
        <v>102226784</v>
      </c>
      <c r="G151" s="144"/>
    </row>
    <row r="152" spans="1:7" s="604" customFormat="1" ht="16.5" x14ac:dyDescent="0.3">
      <c r="A152" s="603"/>
      <c r="B152" s="593" t="s">
        <v>1141</v>
      </c>
      <c r="C152" s="144">
        <f t="shared" si="20"/>
        <v>50000000</v>
      </c>
      <c r="D152" s="144"/>
      <c r="E152" s="144">
        <v>50000000</v>
      </c>
      <c r="F152" s="144"/>
      <c r="G152" s="144"/>
    </row>
    <row r="153" spans="1:7" s="3" customFormat="1" ht="16.5" x14ac:dyDescent="0.25">
      <c r="A153" s="11"/>
      <c r="B153" s="593" t="s">
        <v>262</v>
      </c>
      <c r="C153" s="605">
        <f t="shared" si="20"/>
        <v>28000000</v>
      </c>
      <c r="D153" s="606">
        <v>28000000</v>
      </c>
      <c r="E153" s="606"/>
      <c r="F153" s="597"/>
      <c r="G153" s="8"/>
    </row>
    <row r="154" spans="1:7" s="3" customFormat="1" ht="19.5" customHeight="1" x14ac:dyDescent="0.25">
      <c r="A154" s="11"/>
      <c r="B154" s="593" t="s">
        <v>263</v>
      </c>
      <c r="C154" s="9">
        <f t="shared" ref="C154:C156" si="21">D154+E154+F154</f>
        <v>20000000</v>
      </c>
      <c r="D154" s="606">
        <v>20000000</v>
      </c>
      <c r="E154" s="606"/>
      <c r="F154" s="607"/>
      <c r="G154" s="8"/>
    </row>
    <row r="155" spans="1:7" s="3" customFormat="1" ht="33" x14ac:dyDescent="0.25">
      <c r="A155" s="11"/>
      <c r="B155" s="10" t="s">
        <v>1126</v>
      </c>
      <c r="C155" s="9">
        <f t="shared" si="21"/>
        <v>300000000</v>
      </c>
      <c r="D155" s="9">
        <v>100000000</v>
      </c>
      <c r="E155" s="9">
        <v>100000000</v>
      </c>
      <c r="F155" s="9">
        <v>100000000</v>
      </c>
      <c r="G155" s="9"/>
    </row>
    <row r="156" spans="1:7" s="3" customFormat="1" ht="49.5" x14ac:dyDescent="0.25">
      <c r="A156" s="11"/>
      <c r="B156" s="10" t="s">
        <v>367</v>
      </c>
      <c r="C156" s="9">
        <f t="shared" si="21"/>
        <v>72000000</v>
      </c>
      <c r="D156" s="9">
        <v>30000000</v>
      </c>
      <c r="E156" s="9">
        <v>36000000</v>
      </c>
      <c r="F156" s="9">
        <v>6000000</v>
      </c>
      <c r="G156" s="9"/>
    </row>
    <row r="157" spans="1:7" s="61" customFormat="1" ht="16.5" x14ac:dyDescent="0.3">
      <c r="A157" s="6" t="s">
        <v>403</v>
      </c>
      <c r="B157" s="60" t="s">
        <v>297</v>
      </c>
      <c r="C157" s="7">
        <f>SUM(C158:C160)</f>
        <v>868000000</v>
      </c>
      <c r="D157" s="7">
        <f>SUM(D158:D160)</f>
        <v>868000000</v>
      </c>
      <c r="E157" s="7">
        <f>SUM(E158:E160)</f>
        <v>0</v>
      </c>
      <c r="F157" s="7">
        <f>SUM(F158:F160)</f>
        <v>0</v>
      </c>
      <c r="G157" s="7"/>
    </row>
    <row r="158" spans="1:7" ht="303.75" customHeight="1" x14ac:dyDescent="0.3">
      <c r="A158" s="44">
        <v>1</v>
      </c>
      <c r="B158" s="40" t="s">
        <v>1046</v>
      </c>
      <c r="C158" s="144">
        <f>D158+E158+F158</f>
        <v>868000000</v>
      </c>
      <c r="D158" s="35">
        <v>868000000</v>
      </c>
      <c r="E158" s="35"/>
      <c r="F158" s="35"/>
      <c r="G158" s="49" t="s">
        <v>1105</v>
      </c>
    </row>
  </sheetData>
  <mergeCells count="3">
    <mergeCell ref="A2:G2"/>
    <mergeCell ref="G8:G10"/>
    <mergeCell ref="F3:G3"/>
  </mergeCells>
  <pageMargins left="0.81018518518518501" right="0" top="0.39370078740157499" bottom="0.39370078740157499" header="0.31496062992126" footer="0.31496062992126"/>
  <pageSetup paperSize="9"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4"/>
  <sheetViews>
    <sheetView topLeftCell="A67" zoomScale="80" zoomScaleNormal="80" zoomScalePageLayoutView="60" workbookViewId="0">
      <selection activeCell="Q90" sqref="A5:Q153"/>
    </sheetView>
  </sheetViews>
  <sheetFormatPr defaultRowHeight="16.5" x14ac:dyDescent="0.25"/>
  <cols>
    <col min="1" max="1" width="3.5" style="33" customWidth="1"/>
    <col min="2" max="2" width="13.69921875" style="34" customWidth="1"/>
    <col min="3" max="3" width="11.796875" style="47" customWidth="1"/>
    <col min="4" max="4" width="6.3984375" style="47" customWidth="1"/>
    <col min="5" max="5" width="6.09765625" style="2" customWidth="1"/>
    <col min="6" max="6" width="6.3984375" style="2" customWidth="1"/>
    <col min="7" max="8" width="5.69921875" style="2" customWidth="1"/>
    <col min="9" max="9" width="15.5" style="50" customWidth="1"/>
    <col min="10" max="10" width="14.59765625" style="50" customWidth="1"/>
    <col min="11" max="11" width="13.8984375" style="50" customWidth="1"/>
    <col min="12" max="12" width="10.3984375" style="2" customWidth="1"/>
    <col min="13" max="13" width="13.69921875" style="2" customWidth="1"/>
    <col min="14" max="14" width="15.5" style="50" customWidth="1"/>
    <col min="15" max="15" width="16.19921875" style="21" customWidth="1"/>
    <col min="16" max="16" width="14.59765625" style="21" customWidth="1"/>
    <col min="17" max="17" width="14.5" style="21" customWidth="1"/>
    <col min="18" max="254" width="8.796875" style="21"/>
    <col min="255" max="255" width="4.09765625" style="21" bestFit="1" customWidth="1"/>
    <col min="256" max="256" width="21.3984375" style="21" customWidth="1"/>
    <col min="257" max="257" width="8.3984375" style="21" customWidth="1"/>
    <col min="258" max="258" width="9" style="21" customWidth="1"/>
    <col min="259" max="259" width="10.09765625" style="21" customWidth="1"/>
    <col min="260" max="260" width="9.3984375" style="21" customWidth="1"/>
    <col min="261" max="261" width="8.3984375" style="21" customWidth="1"/>
    <col min="262" max="262" width="7.3984375" style="21" customWidth="1"/>
    <col min="263" max="263" width="7.19921875" style="21" customWidth="1"/>
    <col min="264" max="264" width="16.19921875" style="21" customWidth="1"/>
    <col min="265" max="265" width="16.69921875" style="21" customWidth="1"/>
    <col min="266" max="266" width="10.09765625" style="21" customWidth="1"/>
    <col min="267" max="267" width="16.09765625" style="21" customWidth="1"/>
    <col min="268" max="268" width="13.09765625" style="21" customWidth="1"/>
    <col min="269" max="269" width="14.3984375" style="21" customWidth="1"/>
    <col min="270" max="270" width="11.69921875" style="21" bestFit="1" customWidth="1"/>
    <col min="271" max="510" width="8.796875" style="21"/>
    <col min="511" max="511" width="4.09765625" style="21" bestFit="1" customWidth="1"/>
    <col min="512" max="512" width="21.3984375" style="21" customWidth="1"/>
    <col min="513" max="513" width="8.3984375" style="21" customWidth="1"/>
    <col min="514" max="514" width="9" style="21" customWidth="1"/>
    <col min="515" max="515" width="10.09765625" style="21" customWidth="1"/>
    <col min="516" max="516" width="9.3984375" style="21" customWidth="1"/>
    <col min="517" max="517" width="8.3984375" style="21" customWidth="1"/>
    <col min="518" max="518" width="7.3984375" style="21" customWidth="1"/>
    <col min="519" max="519" width="7.19921875" style="21" customWidth="1"/>
    <col min="520" max="520" width="16.19921875" style="21" customWidth="1"/>
    <col min="521" max="521" width="16.69921875" style="21" customWidth="1"/>
    <col min="522" max="522" width="10.09765625" style="21" customWidth="1"/>
    <col min="523" max="523" width="16.09765625" style="21" customWidth="1"/>
    <col min="524" max="524" width="13.09765625" style="21" customWidth="1"/>
    <col min="525" max="525" width="14.3984375" style="21" customWidth="1"/>
    <col min="526" max="526" width="11.69921875" style="21" bestFit="1" customWidth="1"/>
    <col min="527" max="766" width="8.796875" style="21"/>
    <col min="767" max="767" width="4.09765625" style="21" bestFit="1" customWidth="1"/>
    <col min="768" max="768" width="21.3984375" style="21" customWidth="1"/>
    <col min="769" max="769" width="8.3984375" style="21" customWidth="1"/>
    <col min="770" max="770" width="9" style="21" customWidth="1"/>
    <col min="771" max="771" width="10.09765625" style="21" customWidth="1"/>
    <col min="772" max="772" width="9.3984375" style="21" customWidth="1"/>
    <col min="773" max="773" width="8.3984375" style="21" customWidth="1"/>
    <col min="774" max="774" width="7.3984375" style="21" customWidth="1"/>
    <col min="775" max="775" width="7.19921875" style="21" customWidth="1"/>
    <col min="776" max="776" width="16.19921875" style="21" customWidth="1"/>
    <col min="777" max="777" width="16.69921875" style="21" customWidth="1"/>
    <col min="778" max="778" width="10.09765625" style="21" customWidth="1"/>
    <col min="779" max="779" width="16.09765625" style="21" customWidth="1"/>
    <col min="780" max="780" width="13.09765625" style="21" customWidth="1"/>
    <col min="781" max="781" width="14.3984375" style="21" customWidth="1"/>
    <col min="782" max="782" width="11.69921875" style="21" bestFit="1" customWidth="1"/>
    <col min="783" max="1022" width="8.796875" style="21"/>
    <col min="1023" max="1023" width="4.09765625" style="21" bestFit="1" customWidth="1"/>
    <col min="1024" max="1024" width="21.3984375" style="21" customWidth="1"/>
    <col min="1025" max="1025" width="8.3984375" style="21" customWidth="1"/>
    <col min="1026" max="1026" width="9" style="21" customWidth="1"/>
    <col min="1027" max="1027" width="10.09765625" style="21" customWidth="1"/>
    <col min="1028" max="1028" width="9.3984375" style="21" customWidth="1"/>
    <col min="1029" max="1029" width="8.3984375" style="21" customWidth="1"/>
    <col min="1030" max="1030" width="7.3984375" style="21" customWidth="1"/>
    <col min="1031" max="1031" width="7.19921875" style="21" customWidth="1"/>
    <col min="1032" max="1032" width="16.19921875" style="21" customWidth="1"/>
    <col min="1033" max="1033" width="16.69921875" style="21" customWidth="1"/>
    <col min="1034" max="1034" width="10.09765625" style="21" customWidth="1"/>
    <col min="1035" max="1035" width="16.09765625" style="21" customWidth="1"/>
    <col min="1036" max="1036" width="13.09765625" style="21" customWidth="1"/>
    <col min="1037" max="1037" width="14.3984375" style="21" customWidth="1"/>
    <col min="1038" max="1038" width="11.69921875" style="21" bestFit="1" customWidth="1"/>
    <col min="1039" max="1278" width="8.796875" style="21"/>
    <col min="1279" max="1279" width="4.09765625" style="21" bestFit="1" customWidth="1"/>
    <col min="1280" max="1280" width="21.3984375" style="21" customWidth="1"/>
    <col min="1281" max="1281" width="8.3984375" style="21" customWidth="1"/>
    <col min="1282" max="1282" width="9" style="21" customWidth="1"/>
    <col min="1283" max="1283" width="10.09765625" style="21" customWidth="1"/>
    <col min="1284" max="1284" width="9.3984375" style="21" customWidth="1"/>
    <col min="1285" max="1285" width="8.3984375" style="21" customWidth="1"/>
    <col min="1286" max="1286" width="7.3984375" style="21" customWidth="1"/>
    <col min="1287" max="1287" width="7.19921875" style="21" customWidth="1"/>
    <col min="1288" max="1288" width="16.19921875" style="21" customWidth="1"/>
    <col min="1289" max="1289" width="16.69921875" style="21" customWidth="1"/>
    <col min="1290" max="1290" width="10.09765625" style="21" customWidth="1"/>
    <col min="1291" max="1291" width="16.09765625" style="21" customWidth="1"/>
    <col min="1292" max="1292" width="13.09765625" style="21" customWidth="1"/>
    <col min="1293" max="1293" width="14.3984375" style="21" customWidth="1"/>
    <col min="1294" max="1294" width="11.69921875" style="21" bestFit="1" customWidth="1"/>
    <col min="1295" max="1534" width="8.796875" style="21"/>
    <col min="1535" max="1535" width="4.09765625" style="21" bestFit="1" customWidth="1"/>
    <col min="1536" max="1536" width="21.3984375" style="21" customWidth="1"/>
    <col min="1537" max="1537" width="8.3984375" style="21" customWidth="1"/>
    <col min="1538" max="1538" width="9" style="21" customWidth="1"/>
    <col min="1539" max="1539" width="10.09765625" style="21" customWidth="1"/>
    <col min="1540" max="1540" width="9.3984375" style="21" customWidth="1"/>
    <col min="1541" max="1541" width="8.3984375" style="21" customWidth="1"/>
    <col min="1542" max="1542" width="7.3984375" style="21" customWidth="1"/>
    <col min="1543" max="1543" width="7.19921875" style="21" customWidth="1"/>
    <col min="1544" max="1544" width="16.19921875" style="21" customWidth="1"/>
    <col min="1545" max="1545" width="16.69921875" style="21" customWidth="1"/>
    <col min="1546" max="1546" width="10.09765625" style="21" customWidth="1"/>
    <col min="1547" max="1547" width="16.09765625" style="21" customWidth="1"/>
    <col min="1548" max="1548" width="13.09765625" style="21" customWidth="1"/>
    <col min="1549" max="1549" width="14.3984375" style="21" customWidth="1"/>
    <col min="1550" max="1550" width="11.69921875" style="21" bestFit="1" customWidth="1"/>
    <col min="1551" max="1790" width="8.796875" style="21"/>
    <col min="1791" max="1791" width="4.09765625" style="21" bestFit="1" customWidth="1"/>
    <col min="1792" max="1792" width="21.3984375" style="21" customWidth="1"/>
    <col min="1793" max="1793" width="8.3984375" style="21" customWidth="1"/>
    <col min="1794" max="1794" width="9" style="21" customWidth="1"/>
    <col min="1795" max="1795" width="10.09765625" style="21" customWidth="1"/>
    <col min="1796" max="1796" width="9.3984375" style="21" customWidth="1"/>
    <col min="1797" max="1797" width="8.3984375" style="21" customWidth="1"/>
    <col min="1798" max="1798" width="7.3984375" style="21" customWidth="1"/>
    <col min="1799" max="1799" width="7.19921875" style="21" customWidth="1"/>
    <col min="1800" max="1800" width="16.19921875" style="21" customWidth="1"/>
    <col min="1801" max="1801" width="16.69921875" style="21" customWidth="1"/>
    <col min="1802" max="1802" width="10.09765625" style="21" customWidth="1"/>
    <col min="1803" max="1803" width="16.09765625" style="21" customWidth="1"/>
    <col min="1804" max="1804" width="13.09765625" style="21" customWidth="1"/>
    <col min="1805" max="1805" width="14.3984375" style="21" customWidth="1"/>
    <col min="1806" max="1806" width="11.69921875" style="21" bestFit="1" customWidth="1"/>
    <col min="1807" max="2046" width="8.796875" style="21"/>
    <col min="2047" max="2047" width="4.09765625" style="21" bestFit="1" customWidth="1"/>
    <col min="2048" max="2048" width="21.3984375" style="21" customWidth="1"/>
    <col min="2049" max="2049" width="8.3984375" style="21" customWidth="1"/>
    <col min="2050" max="2050" width="9" style="21" customWidth="1"/>
    <col min="2051" max="2051" width="10.09765625" style="21" customWidth="1"/>
    <col min="2052" max="2052" width="9.3984375" style="21" customWidth="1"/>
    <col min="2053" max="2053" width="8.3984375" style="21" customWidth="1"/>
    <col min="2054" max="2054" width="7.3984375" style="21" customWidth="1"/>
    <col min="2055" max="2055" width="7.19921875" style="21" customWidth="1"/>
    <col min="2056" max="2056" width="16.19921875" style="21" customWidth="1"/>
    <col min="2057" max="2057" width="16.69921875" style="21" customWidth="1"/>
    <col min="2058" max="2058" width="10.09765625" style="21" customWidth="1"/>
    <col min="2059" max="2059" width="16.09765625" style="21" customWidth="1"/>
    <col min="2060" max="2060" width="13.09765625" style="21" customWidth="1"/>
    <col min="2061" max="2061" width="14.3984375" style="21" customWidth="1"/>
    <col min="2062" max="2062" width="11.69921875" style="21" bestFit="1" customWidth="1"/>
    <col min="2063" max="2302" width="8.796875" style="21"/>
    <col min="2303" max="2303" width="4.09765625" style="21" bestFit="1" customWidth="1"/>
    <col min="2304" max="2304" width="21.3984375" style="21" customWidth="1"/>
    <col min="2305" max="2305" width="8.3984375" style="21" customWidth="1"/>
    <col min="2306" max="2306" width="9" style="21" customWidth="1"/>
    <col min="2307" max="2307" width="10.09765625" style="21" customWidth="1"/>
    <col min="2308" max="2308" width="9.3984375" style="21" customWidth="1"/>
    <col min="2309" max="2309" width="8.3984375" style="21" customWidth="1"/>
    <col min="2310" max="2310" width="7.3984375" style="21" customWidth="1"/>
    <col min="2311" max="2311" width="7.19921875" style="21" customWidth="1"/>
    <col min="2312" max="2312" width="16.19921875" style="21" customWidth="1"/>
    <col min="2313" max="2313" width="16.69921875" style="21" customWidth="1"/>
    <col min="2314" max="2314" width="10.09765625" style="21" customWidth="1"/>
    <col min="2315" max="2315" width="16.09765625" style="21" customWidth="1"/>
    <col min="2316" max="2316" width="13.09765625" style="21" customWidth="1"/>
    <col min="2317" max="2317" width="14.3984375" style="21" customWidth="1"/>
    <col min="2318" max="2318" width="11.69921875" style="21" bestFit="1" customWidth="1"/>
    <col min="2319" max="2558" width="8.796875" style="21"/>
    <col min="2559" max="2559" width="4.09765625" style="21" bestFit="1" customWidth="1"/>
    <col min="2560" max="2560" width="21.3984375" style="21" customWidth="1"/>
    <col min="2561" max="2561" width="8.3984375" style="21" customWidth="1"/>
    <col min="2562" max="2562" width="9" style="21" customWidth="1"/>
    <col min="2563" max="2563" width="10.09765625" style="21" customWidth="1"/>
    <col min="2564" max="2564" width="9.3984375" style="21" customWidth="1"/>
    <col min="2565" max="2565" width="8.3984375" style="21" customWidth="1"/>
    <col min="2566" max="2566" width="7.3984375" style="21" customWidth="1"/>
    <col min="2567" max="2567" width="7.19921875" style="21" customWidth="1"/>
    <col min="2568" max="2568" width="16.19921875" style="21" customWidth="1"/>
    <col min="2569" max="2569" width="16.69921875" style="21" customWidth="1"/>
    <col min="2570" max="2570" width="10.09765625" style="21" customWidth="1"/>
    <col min="2571" max="2571" width="16.09765625" style="21" customWidth="1"/>
    <col min="2572" max="2572" width="13.09765625" style="21" customWidth="1"/>
    <col min="2573" max="2573" width="14.3984375" style="21" customWidth="1"/>
    <col min="2574" max="2574" width="11.69921875" style="21" bestFit="1" customWidth="1"/>
    <col min="2575" max="2814" width="8.796875" style="21"/>
    <col min="2815" max="2815" width="4.09765625" style="21" bestFit="1" customWidth="1"/>
    <col min="2816" max="2816" width="21.3984375" style="21" customWidth="1"/>
    <col min="2817" max="2817" width="8.3984375" style="21" customWidth="1"/>
    <col min="2818" max="2818" width="9" style="21" customWidth="1"/>
    <col min="2819" max="2819" width="10.09765625" style="21" customWidth="1"/>
    <col min="2820" max="2820" width="9.3984375" style="21" customWidth="1"/>
    <col min="2821" max="2821" width="8.3984375" style="21" customWidth="1"/>
    <col min="2822" max="2822" width="7.3984375" style="21" customWidth="1"/>
    <col min="2823" max="2823" width="7.19921875" style="21" customWidth="1"/>
    <col min="2824" max="2824" width="16.19921875" style="21" customWidth="1"/>
    <col min="2825" max="2825" width="16.69921875" style="21" customWidth="1"/>
    <col min="2826" max="2826" width="10.09765625" style="21" customWidth="1"/>
    <col min="2827" max="2827" width="16.09765625" style="21" customWidth="1"/>
    <col min="2828" max="2828" width="13.09765625" style="21" customWidth="1"/>
    <col min="2829" max="2829" width="14.3984375" style="21" customWidth="1"/>
    <col min="2830" max="2830" width="11.69921875" style="21" bestFit="1" customWidth="1"/>
    <col min="2831" max="3070" width="8.796875" style="21"/>
    <col min="3071" max="3071" width="4.09765625" style="21" bestFit="1" customWidth="1"/>
    <col min="3072" max="3072" width="21.3984375" style="21" customWidth="1"/>
    <col min="3073" max="3073" width="8.3984375" style="21" customWidth="1"/>
    <col min="3074" max="3074" width="9" style="21" customWidth="1"/>
    <col min="3075" max="3075" width="10.09765625" style="21" customWidth="1"/>
    <col min="3076" max="3076" width="9.3984375" style="21" customWidth="1"/>
    <col min="3077" max="3077" width="8.3984375" style="21" customWidth="1"/>
    <col min="3078" max="3078" width="7.3984375" style="21" customWidth="1"/>
    <col min="3079" max="3079" width="7.19921875" style="21" customWidth="1"/>
    <col min="3080" max="3080" width="16.19921875" style="21" customWidth="1"/>
    <col min="3081" max="3081" width="16.69921875" style="21" customWidth="1"/>
    <col min="3082" max="3082" width="10.09765625" style="21" customWidth="1"/>
    <col min="3083" max="3083" width="16.09765625" style="21" customWidth="1"/>
    <col min="3084" max="3084" width="13.09765625" style="21" customWidth="1"/>
    <col min="3085" max="3085" width="14.3984375" style="21" customWidth="1"/>
    <col min="3086" max="3086" width="11.69921875" style="21" bestFit="1" customWidth="1"/>
    <col min="3087" max="3326" width="8.796875" style="21"/>
    <col min="3327" max="3327" width="4.09765625" style="21" bestFit="1" customWidth="1"/>
    <col min="3328" max="3328" width="21.3984375" style="21" customWidth="1"/>
    <col min="3329" max="3329" width="8.3984375" style="21" customWidth="1"/>
    <col min="3330" max="3330" width="9" style="21" customWidth="1"/>
    <col min="3331" max="3331" width="10.09765625" style="21" customWidth="1"/>
    <col min="3332" max="3332" width="9.3984375" style="21" customWidth="1"/>
    <col min="3333" max="3333" width="8.3984375" style="21" customWidth="1"/>
    <col min="3334" max="3334" width="7.3984375" style="21" customWidth="1"/>
    <col min="3335" max="3335" width="7.19921875" style="21" customWidth="1"/>
    <col min="3336" max="3336" width="16.19921875" style="21" customWidth="1"/>
    <col min="3337" max="3337" width="16.69921875" style="21" customWidth="1"/>
    <col min="3338" max="3338" width="10.09765625" style="21" customWidth="1"/>
    <col min="3339" max="3339" width="16.09765625" style="21" customWidth="1"/>
    <col min="3340" max="3340" width="13.09765625" style="21" customWidth="1"/>
    <col min="3341" max="3341" width="14.3984375" style="21" customWidth="1"/>
    <col min="3342" max="3342" width="11.69921875" style="21" bestFit="1" customWidth="1"/>
    <col min="3343" max="3582" width="8.796875" style="21"/>
    <col min="3583" max="3583" width="4.09765625" style="21" bestFit="1" customWidth="1"/>
    <col min="3584" max="3584" width="21.3984375" style="21" customWidth="1"/>
    <col min="3585" max="3585" width="8.3984375" style="21" customWidth="1"/>
    <col min="3586" max="3586" width="9" style="21" customWidth="1"/>
    <col min="3587" max="3587" width="10.09765625" style="21" customWidth="1"/>
    <col min="3588" max="3588" width="9.3984375" style="21" customWidth="1"/>
    <col min="3589" max="3589" width="8.3984375" style="21" customWidth="1"/>
    <col min="3590" max="3590" width="7.3984375" style="21" customWidth="1"/>
    <col min="3591" max="3591" width="7.19921875" style="21" customWidth="1"/>
    <col min="3592" max="3592" width="16.19921875" style="21" customWidth="1"/>
    <col min="3593" max="3593" width="16.69921875" style="21" customWidth="1"/>
    <col min="3594" max="3594" width="10.09765625" style="21" customWidth="1"/>
    <col min="3595" max="3595" width="16.09765625" style="21" customWidth="1"/>
    <col min="3596" max="3596" width="13.09765625" style="21" customWidth="1"/>
    <col min="3597" max="3597" width="14.3984375" style="21" customWidth="1"/>
    <col min="3598" max="3598" width="11.69921875" style="21" bestFit="1" customWidth="1"/>
    <col min="3599" max="3838" width="8.796875" style="21"/>
    <col min="3839" max="3839" width="4.09765625" style="21" bestFit="1" customWidth="1"/>
    <col min="3840" max="3840" width="21.3984375" style="21" customWidth="1"/>
    <col min="3841" max="3841" width="8.3984375" style="21" customWidth="1"/>
    <col min="3842" max="3842" width="9" style="21" customWidth="1"/>
    <col min="3843" max="3843" width="10.09765625" style="21" customWidth="1"/>
    <col min="3844" max="3844" width="9.3984375" style="21" customWidth="1"/>
    <col min="3845" max="3845" width="8.3984375" style="21" customWidth="1"/>
    <col min="3846" max="3846" width="7.3984375" style="21" customWidth="1"/>
    <col min="3847" max="3847" width="7.19921875" style="21" customWidth="1"/>
    <col min="3848" max="3848" width="16.19921875" style="21" customWidth="1"/>
    <col min="3849" max="3849" width="16.69921875" style="21" customWidth="1"/>
    <col min="3850" max="3850" width="10.09765625" style="21" customWidth="1"/>
    <col min="3851" max="3851" width="16.09765625" style="21" customWidth="1"/>
    <col min="3852" max="3852" width="13.09765625" style="21" customWidth="1"/>
    <col min="3853" max="3853" width="14.3984375" style="21" customWidth="1"/>
    <col min="3854" max="3854" width="11.69921875" style="21" bestFit="1" customWidth="1"/>
    <col min="3855" max="4094" width="8.796875" style="21"/>
    <col min="4095" max="4095" width="4.09765625" style="21" bestFit="1" customWidth="1"/>
    <col min="4096" max="4096" width="21.3984375" style="21" customWidth="1"/>
    <col min="4097" max="4097" width="8.3984375" style="21" customWidth="1"/>
    <col min="4098" max="4098" width="9" style="21" customWidth="1"/>
    <col min="4099" max="4099" width="10.09765625" style="21" customWidth="1"/>
    <col min="4100" max="4100" width="9.3984375" style="21" customWidth="1"/>
    <col min="4101" max="4101" width="8.3984375" style="21" customWidth="1"/>
    <col min="4102" max="4102" width="7.3984375" style="21" customWidth="1"/>
    <col min="4103" max="4103" width="7.19921875" style="21" customWidth="1"/>
    <col min="4104" max="4104" width="16.19921875" style="21" customWidth="1"/>
    <col min="4105" max="4105" width="16.69921875" style="21" customWidth="1"/>
    <col min="4106" max="4106" width="10.09765625" style="21" customWidth="1"/>
    <col min="4107" max="4107" width="16.09765625" style="21" customWidth="1"/>
    <col min="4108" max="4108" width="13.09765625" style="21" customWidth="1"/>
    <col min="4109" max="4109" width="14.3984375" style="21" customWidth="1"/>
    <col min="4110" max="4110" width="11.69921875" style="21" bestFit="1" customWidth="1"/>
    <col min="4111" max="4350" width="8.796875" style="21"/>
    <col min="4351" max="4351" width="4.09765625" style="21" bestFit="1" customWidth="1"/>
    <col min="4352" max="4352" width="21.3984375" style="21" customWidth="1"/>
    <col min="4353" max="4353" width="8.3984375" style="21" customWidth="1"/>
    <col min="4354" max="4354" width="9" style="21" customWidth="1"/>
    <col min="4355" max="4355" width="10.09765625" style="21" customWidth="1"/>
    <col min="4356" max="4356" width="9.3984375" style="21" customWidth="1"/>
    <col min="4357" max="4357" width="8.3984375" style="21" customWidth="1"/>
    <col min="4358" max="4358" width="7.3984375" style="21" customWidth="1"/>
    <col min="4359" max="4359" width="7.19921875" style="21" customWidth="1"/>
    <col min="4360" max="4360" width="16.19921875" style="21" customWidth="1"/>
    <col min="4361" max="4361" width="16.69921875" style="21" customWidth="1"/>
    <col min="4362" max="4362" width="10.09765625" style="21" customWidth="1"/>
    <col min="4363" max="4363" width="16.09765625" style="21" customWidth="1"/>
    <col min="4364" max="4364" width="13.09765625" style="21" customWidth="1"/>
    <col min="4365" max="4365" width="14.3984375" style="21" customWidth="1"/>
    <col min="4366" max="4366" width="11.69921875" style="21" bestFit="1" customWidth="1"/>
    <col min="4367" max="4606" width="8.796875" style="21"/>
    <col min="4607" max="4607" width="4.09765625" style="21" bestFit="1" customWidth="1"/>
    <col min="4608" max="4608" width="21.3984375" style="21" customWidth="1"/>
    <col min="4609" max="4609" width="8.3984375" style="21" customWidth="1"/>
    <col min="4610" max="4610" width="9" style="21" customWidth="1"/>
    <col min="4611" max="4611" width="10.09765625" style="21" customWidth="1"/>
    <col min="4612" max="4612" width="9.3984375" style="21" customWidth="1"/>
    <col min="4613" max="4613" width="8.3984375" style="21" customWidth="1"/>
    <col min="4614" max="4614" width="7.3984375" style="21" customWidth="1"/>
    <col min="4615" max="4615" width="7.19921875" style="21" customWidth="1"/>
    <col min="4616" max="4616" width="16.19921875" style="21" customWidth="1"/>
    <col min="4617" max="4617" width="16.69921875" style="21" customWidth="1"/>
    <col min="4618" max="4618" width="10.09765625" style="21" customWidth="1"/>
    <col min="4619" max="4619" width="16.09765625" style="21" customWidth="1"/>
    <col min="4620" max="4620" width="13.09765625" style="21" customWidth="1"/>
    <col min="4621" max="4621" width="14.3984375" style="21" customWidth="1"/>
    <col min="4622" max="4622" width="11.69921875" style="21" bestFit="1" customWidth="1"/>
    <col min="4623" max="4862" width="8.796875" style="21"/>
    <col min="4863" max="4863" width="4.09765625" style="21" bestFit="1" customWidth="1"/>
    <col min="4864" max="4864" width="21.3984375" style="21" customWidth="1"/>
    <col min="4865" max="4865" width="8.3984375" style="21" customWidth="1"/>
    <col min="4866" max="4866" width="9" style="21" customWidth="1"/>
    <col min="4867" max="4867" width="10.09765625" style="21" customWidth="1"/>
    <col min="4868" max="4868" width="9.3984375" style="21" customWidth="1"/>
    <col min="4869" max="4869" width="8.3984375" style="21" customWidth="1"/>
    <col min="4870" max="4870" width="7.3984375" style="21" customWidth="1"/>
    <col min="4871" max="4871" width="7.19921875" style="21" customWidth="1"/>
    <col min="4872" max="4872" width="16.19921875" style="21" customWidth="1"/>
    <col min="4873" max="4873" width="16.69921875" style="21" customWidth="1"/>
    <col min="4874" max="4874" width="10.09765625" style="21" customWidth="1"/>
    <col min="4875" max="4875" width="16.09765625" style="21" customWidth="1"/>
    <col min="4876" max="4876" width="13.09765625" style="21" customWidth="1"/>
    <col min="4877" max="4877" width="14.3984375" style="21" customWidth="1"/>
    <col min="4878" max="4878" width="11.69921875" style="21" bestFit="1" customWidth="1"/>
    <col min="4879" max="5118" width="8.796875" style="21"/>
    <col min="5119" max="5119" width="4.09765625" style="21" bestFit="1" customWidth="1"/>
    <col min="5120" max="5120" width="21.3984375" style="21" customWidth="1"/>
    <col min="5121" max="5121" width="8.3984375" style="21" customWidth="1"/>
    <col min="5122" max="5122" width="9" style="21" customWidth="1"/>
    <col min="5123" max="5123" width="10.09765625" style="21" customWidth="1"/>
    <col min="5124" max="5124" width="9.3984375" style="21" customWidth="1"/>
    <col min="5125" max="5125" width="8.3984375" style="21" customWidth="1"/>
    <col min="5126" max="5126" width="7.3984375" style="21" customWidth="1"/>
    <col min="5127" max="5127" width="7.19921875" style="21" customWidth="1"/>
    <col min="5128" max="5128" width="16.19921875" style="21" customWidth="1"/>
    <col min="5129" max="5129" width="16.69921875" style="21" customWidth="1"/>
    <col min="5130" max="5130" width="10.09765625" style="21" customWidth="1"/>
    <col min="5131" max="5131" width="16.09765625" style="21" customWidth="1"/>
    <col min="5132" max="5132" width="13.09765625" style="21" customWidth="1"/>
    <col min="5133" max="5133" width="14.3984375" style="21" customWidth="1"/>
    <col min="5134" max="5134" width="11.69921875" style="21" bestFit="1" customWidth="1"/>
    <col min="5135" max="5374" width="8.796875" style="21"/>
    <col min="5375" max="5375" width="4.09765625" style="21" bestFit="1" customWidth="1"/>
    <col min="5376" max="5376" width="21.3984375" style="21" customWidth="1"/>
    <col min="5377" max="5377" width="8.3984375" style="21" customWidth="1"/>
    <col min="5378" max="5378" width="9" style="21" customWidth="1"/>
    <col min="5379" max="5379" width="10.09765625" style="21" customWidth="1"/>
    <col min="5380" max="5380" width="9.3984375" style="21" customWidth="1"/>
    <col min="5381" max="5381" width="8.3984375" style="21" customWidth="1"/>
    <col min="5382" max="5382" width="7.3984375" style="21" customWidth="1"/>
    <col min="5383" max="5383" width="7.19921875" style="21" customWidth="1"/>
    <col min="5384" max="5384" width="16.19921875" style="21" customWidth="1"/>
    <col min="5385" max="5385" width="16.69921875" style="21" customWidth="1"/>
    <col min="5386" max="5386" width="10.09765625" style="21" customWidth="1"/>
    <col min="5387" max="5387" width="16.09765625" style="21" customWidth="1"/>
    <col min="5388" max="5388" width="13.09765625" style="21" customWidth="1"/>
    <col min="5389" max="5389" width="14.3984375" style="21" customWidth="1"/>
    <col min="5390" max="5390" width="11.69921875" style="21" bestFit="1" customWidth="1"/>
    <col min="5391" max="5630" width="8.796875" style="21"/>
    <col min="5631" max="5631" width="4.09765625" style="21" bestFit="1" customWidth="1"/>
    <col min="5632" max="5632" width="21.3984375" style="21" customWidth="1"/>
    <col min="5633" max="5633" width="8.3984375" style="21" customWidth="1"/>
    <col min="5634" max="5634" width="9" style="21" customWidth="1"/>
    <col min="5635" max="5635" width="10.09765625" style="21" customWidth="1"/>
    <col min="5636" max="5636" width="9.3984375" style="21" customWidth="1"/>
    <col min="5637" max="5637" width="8.3984375" style="21" customWidth="1"/>
    <col min="5638" max="5638" width="7.3984375" style="21" customWidth="1"/>
    <col min="5639" max="5639" width="7.19921875" style="21" customWidth="1"/>
    <col min="5640" max="5640" width="16.19921875" style="21" customWidth="1"/>
    <col min="5641" max="5641" width="16.69921875" style="21" customWidth="1"/>
    <col min="5642" max="5642" width="10.09765625" style="21" customWidth="1"/>
    <col min="5643" max="5643" width="16.09765625" style="21" customWidth="1"/>
    <col min="5644" max="5644" width="13.09765625" style="21" customWidth="1"/>
    <col min="5645" max="5645" width="14.3984375" style="21" customWidth="1"/>
    <col min="5646" max="5646" width="11.69921875" style="21" bestFit="1" customWidth="1"/>
    <col min="5647" max="5886" width="8.796875" style="21"/>
    <col min="5887" max="5887" width="4.09765625" style="21" bestFit="1" customWidth="1"/>
    <col min="5888" max="5888" width="21.3984375" style="21" customWidth="1"/>
    <col min="5889" max="5889" width="8.3984375" style="21" customWidth="1"/>
    <col min="5890" max="5890" width="9" style="21" customWidth="1"/>
    <col min="5891" max="5891" width="10.09765625" style="21" customWidth="1"/>
    <col min="5892" max="5892" width="9.3984375" style="21" customWidth="1"/>
    <col min="5893" max="5893" width="8.3984375" style="21" customWidth="1"/>
    <col min="5894" max="5894" width="7.3984375" style="21" customWidth="1"/>
    <col min="5895" max="5895" width="7.19921875" style="21" customWidth="1"/>
    <col min="5896" max="5896" width="16.19921875" style="21" customWidth="1"/>
    <col min="5897" max="5897" width="16.69921875" style="21" customWidth="1"/>
    <col min="5898" max="5898" width="10.09765625" style="21" customWidth="1"/>
    <col min="5899" max="5899" width="16.09765625" style="21" customWidth="1"/>
    <col min="5900" max="5900" width="13.09765625" style="21" customWidth="1"/>
    <col min="5901" max="5901" width="14.3984375" style="21" customWidth="1"/>
    <col min="5902" max="5902" width="11.69921875" style="21" bestFit="1" customWidth="1"/>
    <col min="5903" max="6142" width="8.796875" style="21"/>
    <col min="6143" max="6143" width="4.09765625" style="21" bestFit="1" customWidth="1"/>
    <col min="6144" max="6144" width="21.3984375" style="21" customWidth="1"/>
    <col min="6145" max="6145" width="8.3984375" style="21" customWidth="1"/>
    <col min="6146" max="6146" width="9" style="21" customWidth="1"/>
    <col min="6147" max="6147" width="10.09765625" style="21" customWidth="1"/>
    <col min="6148" max="6148" width="9.3984375" style="21" customWidth="1"/>
    <col min="6149" max="6149" width="8.3984375" style="21" customWidth="1"/>
    <col min="6150" max="6150" width="7.3984375" style="21" customWidth="1"/>
    <col min="6151" max="6151" width="7.19921875" style="21" customWidth="1"/>
    <col min="6152" max="6152" width="16.19921875" style="21" customWidth="1"/>
    <col min="6153" max="6153" width="16.69921875" style="21" customWidth="1"/>
    <col min="6154" max="6154" width="10.09765625" style="21" customWidth="1"/>
    <col min="6155" max="6155" width="16.09765625" style="21" customWidth="1"/>
    <col min="6156" max="6156" width="13.09765625" style="21" customWidth="1"/>
    <col min="6157" max="6157" width="14.3984375" style="21" customWidth="1"/>
    <col min="6158" max="6158" width="11.69921875" style="21" bestFit="1" customWidth="1"/>
    <col min="6159" max="6398" width="8.796875" style="21"/>
    <col min="6399" max="6399" width="4.09765625" style="21" bestFit="1" customWidth="1"/>
    <col min="6400" max="6400" width="21.3984375" style="21" customWidth="1"/>
    <col min="6401" max="6401" width="8.3984375" style="21" customWidth="1"/>
    <col min="6402" max="6402" width="9" style="21" customWidth="1"/>
    <col min="6403" max="6403" width="10.09765625" style="21" customWidth="1"/>
    <col min="6404" max="6404" width="9.3984375" style="21" customWidth="1"/>
    <col min="6405" max="6405" width="8.3984375" style="21" customWidth="1"/>
    <col min="6406" max="6406" width="7.3984375" style="21" customWidth="1"/>
    <col min="6407" max="6407" width="7.19921875" style="21" customWidth="1"/>
    <col min="6408" max="6408" width="16.19921875" style="21" customWidth="1"/>
    <col min="6409" max="6409" width="16.69921875" style="21" customWidth="1"/>
    <col min="6410" max="6410" width="10.09765625" style="21" customWidth="1"/>
    <col min="6411" max="6411" width="16.09765625" style="21" customWidth="1"/>
    <col min="6412" max="6412" width="13.09765625" style="21" customWidth="1"/>
    <col min="6413" max="6413" width="14.3984375" style="21" customWidth="1"/>
    <col min="6414" max="6414" width="11.69921875" style="21" bestFit="1" customWidth="1"/>
    <col min="6415" max="6654" width="8.796875" style="21"/>
    <col min="6655" max="6655" width="4.09765625" style="21" bestFit="1" customWidth="1"/>
    <col min="6656" max="6656" width="21.3984375" style="21" customWidth="1"/>
    <col min="6657" max="6657" width="8.3984375" style="21" customWidth="1"/>
    <col min="6658" max="6658" width="9" style="21" customWidth="1"/>
    <col min="6659" max="6659" width="10.09765625" style="21" customWidth="1"/>
    <col min="6660" max="6660" width="9.3984375" style="21" customWidth="1"/>
    <col min="6661" max="6661" width="8.3984375" style="21" customWidth="1"/>
    <col min="6662" max="6662" width="7.3984375" style="21" customWidth="1"/>
    <col min="6663" max="6663" width="7.19921875" style="21" customWidth="1"/>
    <col min="6664" max="6664" width="16.19921875" style="21" customWidth="1"/>
    <col min="6665" max="6665" width="16.69921875" style="21" customWidth="1"/>
    <col min="6666" max="6666" width="10.09765625" style="21" customWidth="1"/>
    <col min="6667" max="6667" width="16.09765625" style="21" customWidth="1"/>
    <col min="6668" max="6668" width="13.09765625" style="21" customWidth="1"/>
    <col min="6669" max="6669" width="14.3984375" style="21" customWidth="1"/>
    <col min="6670" max="6670" width="11.69921875" style="21" bestFit="1" customWidth="1"/>
    <col min="6671" max="6910" width="8.796875" style="21"/>
    <col min="6911" max="6911" width="4.09765625" style="21" bestFit="1" customWidth="1"/>
    <col min="6912" max="6912" width="21.3984375" style="21" customWidth="1"/>
    <col min="6913" max="6913" width="8.3984375" style="21" customWidth="1"/>
    <col min="6914" max="6914" width="9" style="21" customWidth="1"/>
    <col min="6915" max="6915" width="10.09765625" style="21" customWidth="1"/>
    <col min="6916" max="6916" width="9.3984375" style="21" customWidth="1"/>
    <col min="6917" max="6917" width="8.3984375" style="21" customWidth="1"/>
    <col min="6918" max="6918" width="7.3984375" style="21" customWidth="1"/>
    <col min="6919" max="6919" width="7.19921875" style="21" customWidth="1"/>
    <col min="6920" max="6920" width="16.19921875" style="21" customWidth="1"/>
    <col min="6921" max="6921" width="16.69921875" style="21" customWidth="1"/>
    <col min="6922" max="6922" width="10.09765625" style="21" customWidth="1"/>
    <col min="6923" max="6923" width="16.09765625" style="21" customWidth="1"/>
    <col min="6924" max="6924" width="13.09765625" style="21" customWidth="1"/>
    <col min="6925" max="6925" width="14.3984375" style="21" customWidth="1"/>
    <col min="6926" max="6926" width="11.69921875" style="21" bestFit="1" customWidth="1"/>
    <col min="6927" max="7166" width="8.796875" style="21"/>
    <col min="7167" max="7167" width="4.09765625" style="21" bestFit="1" customWidth="1"/>
    <col min="7168" max="7168" width="21.3984375" style="21" customWidth="1"/>
    <col min="7169" max="7169" width="8.3984375" style="21" customWidth="1"/>
    <col min="7170" max="7170" width="9" style="21" customWidth="1"/>
    <col min="7171" max="7171" width="10.09765625" style="21" customWidth="1"/>
    <col min="7172" max="7172" width="9.3984375" style="21" customWidth="1"/>
    <col min="7173" max="7173" width="8.3984375" style="21" customWidth="1"/>
    <col min="7174" max="7174" width="7.3984375" style="21" customWidth="1"/>
    <col min="7175" max="7175" width="7.19921875" style="21" customWidth="1"/>
    <col min="7176" max="7176" width="16.19921875" style="21" customWidth="1"/>
    <col min="7177" max="7177" width="16.69921875" style="21" customWidth="1"/>
    <col min="7178" max="7178" width="10.09765625" style="21" customWidth="1"/>
    <col min="7179" max="7179" width="16.09765625" style="21" customWidth="1"/>
    <col min="7180" max="7180" width="13.09765625" style="21" customWidth="1"/>
    <col min="7181" max="7181" width="14.3984375" style="21" customWidth="1"/>
    <col min="7182" max="7182" width="11.69921875" style="21" bestFit="1" customWidth="1"/>
    <col min="7183" max="7422" width="8.796875" style="21"/>
    <col min="7423" max="7423" width="4.09765625" style="21" bestFit="1" customWidth="1"/>
    <col min="7424" max="7424" width="21.3984375" style="21" customWidth="1"/>
    <col min="7425" max="7425" width="8.3984375" style="21" customWidth="1"/>
    <col min="7426" max="7426" width="9" style="21" customWidth="1"/>
    <col min="7427" max="7427" width="10.09765625" style="21" customWidth="1"/>
    <col min="7428" max="7428" width="9.3984375" style="21" customWidth="1"/>
    <col min="7429" max="7429" width="8.3984375" style="21" customWidth="1"/>
    <col min="7430" max="7430" width="7.3984375" style="21" customWidth="1"/>
    <col min="7431" max="7431" width="7.19921875" style="21" customWidth="1"/>
    <col min="7432" max="7432" width="16.19921875" style="21" customWidth="1"/>
    <col min="7433" max="7433" width="16.69921875" style="21" customWidth="1"/>
    <col min="7434" max="7434" width="10.09765625" style="21" customWidth="1"/>
    <col min="7435" max="7435" width="16.09765625" style="21" customWidth="1"/>
    <col min="7436" max="7436" width="13.09765625" style="21" customWidth="1"/>
    <col min="7437" max="7437" width="14.3984375" style="21" customWidth="1"/>
    <col min="7438" max="7438" width="11.69921875" style="21" bestFit="1" customWidth="1"/>
    <col min="7439" max="7678" width="8.796875" style="21"/>
    <col min="7679" max="7679" width="4.09765625" style="21" bestFit="1" customWidth="1"/>
    <col min="7680" max="7680" width="21.3984375" style="21" customWidth="1"/>
    <col min="7681" max="7681" width="8.3984375" style="21" customWidth="1"/>
    <col min="7682" max="7682" width="9" style="21" customWidth="1"/>
    <col min="7683" max="7683" width="10.09765625" style="21" customWidth="1"/>
    <col min="7684" max="7684" width="9.3984375" style="21" customWidth="1"/>
    <col min="7685" max="7685" width="8.3984375" style="21" customWidth="1"/>
    <col min="7686" max="7686" width="7.3984375" style="21" customWidth="1"/>
    <col min="7687" max="7687" width="7.19921875" style="21" customWidth="1"/>
    <col min="7688" max="7688" width="16.19921875" style="21" customWidth="1"/>
    <col min="7689" max="7689" width="16.69921875" style="21" customWidth="1"/>
    <col min="7690" max="7690" width="10.09765625" style="21" customWidth="1"/>
    <col min="7691" max="7691" width="16.09765625" style="21" customWidth="1"/>
    <col min="7692" max="7692" width="13.09765625" style="21" customWidth="1"/>
    <col min="7693" max="7693" width="14.3984375" style="21" customWidth="1"/>
    <col min="7694" max="7694" width="11.69921875" style="21" bestFit="1" customWidth="1"/>
    <col min="7695" max="7934" width="8.796875" style="21"/>
    <col min="7935" max="7935" width="4.09765625" style="21" bestFit="1" customWidth="1"/>
    <col min="7936" max="7936" width="21.3984375" style="21" customWidth="1"/>
    <col min="7937" max="7937" width="8.3984375" style="21" customWidth="1"/>
    <col min="7938" max="7938" width="9" style="21" customWidth="1"/>
    <col min="7939" max="7939" width="10.09765625" style="21" customWidth="1"/>
    <col min="7940" max="7940" width="9.3984375" style="21" customWidth="1"/>
    <col min="7941" max="7941" width="8.3984375" style="21" customWidth="1"/>
    <col min="7942" max="7942" width="7.3984375" style="21" customWidth="1"/>
    <col min="7943" max="7943" width="7.19921875" style="21" customWidth="1"/>
    <col min="7944" max="7944" width="16.19921875" style="21" customWidth="1"/>
    <col min="7945" max="7945" width="16.69921875" style="21" customWidth="1"/>
    <col min="7946" max="7946" width="10.09765625" style="21" customWidth="1"/>
    <col min="7947" max="7947" width="16.09765625" style="21" customWidth="1"/>
    <col min="7948" max="7948" width="13.09765625" style="21" customWidth="1"/>
    <col min="7949" max="7949" width="14.3984375" style="21" customWidth="1"/>
    <col min="7950" max="7950" width="11.69921875" style="21" bestFit="1" customWidth="1"/>
    <col min="7951" max="8190" width="8.796875" style="21"/>
    <col min="8191" max="8191" width="4.09765625" style="21" bestFit="1" customWidth="1"/>
    <col min="8192" max="8192" width="21.3984375" style="21" customWidth="1"/>
    <col min="8193" max="8193" width="8.3984375" style="21" customWidth="1"/>
    <col min="8194" max="8194" width="9" style="21" customWidth="1"/>
    <col min="8195" max="8195" width="10.09765625" style="21" customWidth="1"/>
    <col min="8196" max="8196" width="9.3984375" style="21" customWidth="1"/>
    <col min="8197" max="8197" width="8.3984375" style="21" customWidth="1"/>
    <col min="8198" max="8198" width="7.3984375" style="21" customWidth="1"/>
    <col min="8199" max="8199" width="7.19921875" style="21" customWidth="1"/>
    <col min="8200" max="8200" width="16.19921875" style="21" customWidth="1"/>
    <col min="8201" max="8201" width="16.69921875" style="21" customWidth="1"/>
    <col min="8202" max="8202" width="10.09765625" style="21" customWidth="1"/>
    <col min="8203" max="8203" width="16.09765625" style="21" customWidth="1"/>
    <col min="8204" max="8204" width="13.09765625" style="21" customWidth="1"/>
    <col min="8205" max="8205" width="14.3984375" style="21" customWidth="1"/>
    <col min="8206" max="8206" width="11.69921875" style="21" bestFit="1" customWidth="1"/>
    <col min="8207" max="8446" width="8.796875" style="21"/>
    <col min="8447" max="8447" width="4.09765625" style="21" bestFit="1" customWidth="1"/>
    <col min="8448" max="8448" width="21.3984375" style="21" customWidth="1"/>
    <col min="8449" max="8449" width="8.3984375" style="21" customWidth="1"/>
    <col min="8450" max="8450" width="9" style="21" customWidth="1"/>
    <col min="8451" max="8451" width="10.09765625" style="21" customWidth="1"/>
    <col min="8452" max="8452" width="9.3984375" style="21" customWidth="1"/>
    <col min="8453" max="8453" width="8.3984375" style="21" customWidth="1"/>
    <col min="8454" max="8454" width="7.3984375" style="21" customWidth="1"/>
    <col min="8455" max="8455" width="7.19921875" style="21" customWidth="1"/>
    <col min="8456" max="8456" width="16.19921875" style="21" customWidth="1"/>
    <col min="8457" max="8457" width="16.69921875" style="21" customWidth="1"/>
    <col min="8458" max="8458" width="10.09765625" style="21" customWidth="1"/>
    <col min="8459" max="8459" width="16.09765625" style="21" customWidth="1"/>
    <col min="8460" max="8460" width="13.09765625" style="21" customWidth="1"/>
    <col min="8461" max="8461" width="14.3984375" style="21" customWidth="1"/>
    <col min="8462" max="8462" width="11.69921875" style="21" bestFit="1" customWidth="1"/>
    <col min="8463" max="8702" width="8.796875" style="21"/>
    <col min="8703" max="8703" width="4.09765625" style="21" bestFit="1" customWidth="1"/>
    <col min="8704" max="8704" width="21.3984375" style="21" customWidth="1"/>
    <col min="8705" max="8705" width="8.3984375" style="21" customWidth="1"/>
    <col min="8706" max="8706" width="9" style="21" customWidth="1"/>
    <col min="8707" max="8707" width="10.09765625" style="21" customWidth="1"/>
    <col min="8708" max="8708" width="9.3984375" style="21" customWidth="1"/>
    <col min="8709" max="8709" width="8.3984375" style="21" customWidth="1"/>
    <col min="8710" max="8710" width="7.3984375" style="21" customWidth="1"/>
    <col min="8711" max="8711" width="7.19921875" style="21" customWidth="1"/>
    <col min="8712" max="8712" width="16.19921875" style="21" customWidth="1"/>
    <col min="8713" max="8713" width="16.69921875" style="21" customWidth="1"/>
    <col min="8714" max="8714" width="10.09765625" style="21" customWidth="1"/>
    <col min="8715" max="8715" width="16.09765625" style="21" customWidth="1"/>
    <col min="8716" max="8716" width="13.09765625" style="21" customWidth="1"/>
    <col min="8717" max="8717" width="14.3984375" style="21" customWidth="1"/>
    <col min="8718" max="8718" width="11.69921875" style="21" bestFit="1" customWidth="1"/>
    <col min="8719" max="8958" width="8.796875" style="21"/>
    <col min="8959" max="8959" width="4.09765625" style="21" bestFit="1" customWidth="1"/>
    <col min="8960" max="8960" width="21.3984375" style="21" customWidth="1"/>
    <col min="8961" max="8961" width="8.3984375" style="21" customWidth="1"/>
    <col min="8962" max="8962" width="9" style="21" customWidth="1"/>
    <col min="8963" max="8963" width="10.09765625" style="21" customWidth="1"/>
    <col min="8964" max="8964" width="9.3984375" style="21" customWidth="1"/>
    <col min="8965" max="8965" width="8.3984375" style="21" customWidth="1"/>
    <col min="8966" max="8966" width="7.3984375" style="21" customWidth="1"/>
    <col min="8967" max="8967" width="7.19921875" style="21" customWidth="1"/>
    <col min="8968" max="8968" width="16.19921875" style="21" customWidth="1"/>
    <col min="8969" max="8969" width="16.69921875" style="21" customWidth="1"/>
    <col min="8970" max="8970" width="10.09765625" style="21" customWidth="1"/>
    <col min="8971" max="8971" width="16.09765625" style="21" customWidth="1"/>
    <col min="8972" max="8972" width="13.09765625" style="21" customWidth="1"/>
    <col min="8973" max="8973" width="14.3984375" style="21" customWidth="1"/>
    <col min="8974" max="8974" width="11.69921875" style="21" bestFit="1" customWidth="1"/>
    <col min="8975" max="9214" width="8.796875" style="21"/>
    <col min="9215" max="9215" width="4.09765625" style="21" bestFit="1" customWidth="1"/>
    <col min="9216" max="9216" width="21.3984375" style="21" customWidth="1"/>
    <col min="9217" max="9217" width="8.3984375" style="21" customWidth="1"/>
    <col min="9218" max="9218" width="9" style="21" customWidth="1"/>
    <col min="9219" max="9219" width="10.09765625" style="21" customWidth="1"/>
    <col min="9220" max="9220" width="9.3984375" style="21" customWidth="1"/>
    <col min="9221" max="9221" width="8.3984375" style="21" customWidth="1"/>
    <col min="9222" max="9222" width="7.3984375" style="21" customWidth="1"/>
    <col min="9223" max="9223" width="7.19921875" style="21" customWidth="1"/>
    <col min="9224" max="9224" width="16.19921875" style="21" customWidth="1"/>
    <col min="9225" max="9225" width="16.69921875" style="21" customWidth="1"/>
    <col min="9226" max="9226" width="10.09765625" style="21" customWidth="1"/>
    <col min="9227" max="9227" width="16.09765625" style="21" customWidth="1"/>
    <col min="9228" max="9228" width="13.09765625" style="21" customWidth="1"/>
    <col min="9229" max="9229" width="14.3984375" style="21" customWidth="1"/>
    <col min="9230" max="9230" width="11.69921875" style="21" bestFit="1" customWidth="1"/>
    <col min="9231" max="9470" width="8.796875" style="21"/>
    <col min="9471" max="9471" width="4.09765625" style="21" bestFit="1" customWidth="1"/>
    <col min="9472" max="9472" width="21.3984375" style="21" customWidth="1"/>
    <col min="9473" max="9473" width="8.3984375" style="21" customWidth="1"/>
    <col min="9474" max="9474" width="9" style="21" customWidth="1"/>
    <col min="9475" max="9475" width="10.09765625" style="21" customWidth="1"/>
    <col min="9476" max="9476" width="9.3984375" style="21" customWidth="1"/>
    <col min="9477" max="9477" width="8.3984375" style="21" customWidth="1"/>
    <col min="9478" max="9478" width="7.3984375" style="21" customWidth="1"/>
    <col min="9479" max="9479" width="7.19921875" style="21" customWidth="1"/>
    <col min="9480" max="9480" width="16.19921875" style="21" customWidth="1"/>
    <col min="9481" max="9481" width="16.69921875" style="21" customWidth="1"/>
    <col min="9482" max="9482" width="10.09765625" style="21" customWidth="1"/>
    <col min="9483" max="9483" width="16.09765625" style="21" customWidth="1"/>
    <col min="9484" max="9484" width="13.09765625" style="21" customWidth="1"/>
    <col min="9485" max="9485" width="14.3984375" style="21" customWidth="1"/>
    <col min="9486" max="9486" width="11.69921875" style="21" bestFit="1" customWidth="1"/>
    <col min="9487" max="9726" width="8.796875" style="21"/>
    <col min="9727" max="9727" width="4.09765625" style="21" bestFit="1" customWidth="1"/>
    <col min="9728" max="9728" width="21.3984375" style="21" customWidth="1"/>
    <col min="9729" max="9729" width="8.3984375" style="21" customWidth="1"/>
    <col min="9730" max="9730" width="9" style="21" customWidth="1"/>
    <col min="9731" max="9731" width="10.09765625" style="21" customWidth="1"/>
    <col min="9732" max="9732" width="9.3984375" style="21" customWidth="1"/>
    <col min="9733" max="9733" width="8.3984375" style="21" customWidth="1"/>
    <col min="9734" max="9734" width="7.3984375" style="21" customWidth="1"/>
    <col min="9735" max="9735" width="7.19921875" style="21" customWidth="1"/>
    <col min="9736" max="9736" width="16.19921875" style="21" customWidth="1"/>
    <col min="9737" max="9737" width="16.69921875" style="21" customWidth="1"/>
    <col min="9738" max="9738" width="10.09765625" style="21" customWidth="1"/>
    <col min="9739" max="9739" width="16.09765625" style="21" customWidth="1"/>
    <col min="9740" max="9740" width="13.09765625" style="21" customWidth="1"/>
    <col min="9741" max="9741" width="14.3984375" style="21" customWidth="1"/>
    <col min="9742" max="9742" width="11.69921875" style="21" bestFit="1" customWidth="1"/>
    <col min="9743" max="9982" width="8.796875" style="21"/>
    <col min="9983" max="9983" width="4.09765625" style="21" bestFit="1" customWidth="1"/>
    <col min="9984" max="9984" width="21.3984375" style="21" customWidth="1"/>
    <col min="9985" max="9985" width="8.3984375" style="21" customWidth="1"/>
    <col min="9986" max="9986" width="9" style="21" customWidth="1"/>
    <col min="9987" max="9987" width="10.09765625" style="21" customWidth="1"/>
    <col min="9988" max="9988" width="9.3984375" style="21" customWidth="1"/>
    <col min="9989" max="9989" width="8.3984375" style="21" customWidth="1"/>
    <col min="9990" max="9990" width="7.3984375" style="21" customWidth="1"/>
    <col min="9991" max="9991" width="7.19921875" style="21" customWidth="1"/>
    <col min="9992" max="9992" width="16.19921875" style="21" customWidth="1"/>
    <col min="9993" max="9993" width="16.69921875" style="21" customWidth="1"/>
    <col min="9994" max="9994" width="10.09765625" style="21" customWidth="1"/>
    <col min="9995" max="9995" width="16.09765625" style="21" customWidth="1"/>
    <col min="9996" max="9996" width="13.09765625" style="21" customWidth="1"/>
    <col min="9997" max="9997" width="14.3984375" style="21" customWidth="1"/>
    <col min="9998" max="9998" width="11.69921875" style="21" bestFit="1" customWidth="1"/>
    <col min="9999" max="10238" width="8.796875" style="21"/>
    <col min="10239" max="10239" width="4.09765625" style="21" bestFit="1" customWidth="1"/>
    <col min="10240" max="10240" width="21.3984375" style="21" customWidth="1"/>
    <col min="10241" max="10241" width="8.3984375" style="21" customWidth="1"/>
    <col min="10242" max="10242" width="9" style="21" customWidth="1"/>
    <col min="10243" max="10243" width="10.09765625" style="21" customWidth="1"/>
    <col min="10244" max="10244" width="9.3984375" style="21" customWidth="1"/>
    <col min="10245" max="10245" width="8.3984375" style="21" customWidth="1"/>
    <col min="10246" max="10246" width="7.3984375" style="21" customWidth="1"/>
    <col min="10247" max="10247" width="7.19921875" style="21" customWidth="1"/>
    <col min="10248" max="10248" width="16.19921875" style="21" customWidth="1"/>
    <col min="10249" max="10249" width="16.69921875" style="21" customWidth="1"/>
    <col min="10250" max="10250" width="10.09765625" style="21" customWidth="1"/>
    <col min="10251" max="10251" width="16.09765625" style="21" customWidth="1"/>
    <col min="10252" max="10252" width="13.09765625" style="21" customWidth="1"/>
    <col min="10253" max="10253" width="14.3984375" style="21" customWidth="1"/>
    <col min="10254" max="10254" width="11.69921875" style="21" bestFit="1" customWidth="1"/>
    <col min="10255" max="10494" width="8.796875" style="21"/>
    <col min="10495" max="10495" width="4.09765625" style="21" bestFit="1" customWidth="1"/>
    <col min="10496" max="10496" width="21.3984375" style="21" customWidth="1"/>
    <col min="10497" max="10497" width="8.3984375" style="21" customWidth="1"/>
    <col min="10498" max="10498" width="9" style="21" customWidth="1"/>
    <col min="10499" max="10499" width="10.09765625" style="21" customWidth="1"/>
    <col min="10500" max="10500" width="9.3984375" style="21" customWidth="1"/>
    <col min="10501" max="10501" width="8.3984375" style="21" customWidth="1"/>
    <col min="10502" max="10502" width="7.3984375" style="21" customWidth="1"/>
    <col min="10503" max="10503" width="7.19921875" style="21" customWidth="1"/>
    <col min="10504" max="10504" width="16.19921875" style="21" customWidth="1"/>
    <col min="10505" max="10505" width="16.69921875" style="21" customWidth="1"/>
    <col min="10506" max="10506" width="10.09765625" style="21" customWidth="1"/>
    <col min="10507" max="10507" width="16.09765625" style="21" customWidth="1"/>
    <col min="10508" max="10508" width="13.09765625" style="21" customWidth="1"/>
    <col min="10509" max="10509" width="14.3984375" style="21" customWidth="1"/>
    <col min="10510" max="10510" width="11.69921875" style="21" bestFit="1" customWidth="1"/>
    <col min="10511" max="10750" width="8.796875" style="21"/>
    <col min="10751" max="10751" width="4.09765625" style="21" bestFit="1" customWidth="1"/>
    <col min="10752" max="10752" width="21.3984375" style="21" customWidth="1"/>
    <col min="10753" max="10753" width="8.3984375" style="21" customWidth="1"/>
    <col min="10754" max="10754" width="9" style="21" customWidth="1"/>
    <col min="10755" max="10755" width="10.09765625" style="21" customWidth="1"/>
    <col min="10756" max="10756" width="9.3984375" style="21" customWidth="1"/>
    <col min="10757" max="10757" width="8.3984375" style="21" customWidth="1"/>
    <col min="10758" max="10758" width="7.3984375" style="21" customWidth="1"/>
    <col min="10759" max="10759" width="7.19921875" style="21" customWidth="1"/>
    <col min="10760" max="10760" width="16.19921875" style="21" customWidth="1"/>
    <col min="10761" max="10761" width="16.69921875" style="21" customWidth="1"/>
    <col min="10762" max="10762" width="10.09765625" style="21" customWidth="1"/>
    <col min="10763" max="10763" width="16.09765625" style="21" customWidth="1"/>
    <col min="10764" max="10764" width="13.09765625" style="21" customWidth="1"/>
    <col min="10765" max="10765" width="14.3984375" style="21" customWidth="1"/>
    <col min="10766" max="10766" width="11.69921875" style="21" bestFit="1" customWidth="1"/>
    <col min="10767" max="11006" width="8.796875" style="21"/>
    <col min="11007" max="11007" width="4.09765625" style="21" bestFit="1" customWidth="1"/>
    <col min="11008" max="11008" width="21.3984375" style="21" customWidth="1"/>
    <col min="11009" max="11009" width="8.3984375" style="21" customWidth="1"/>
    <col min="11010" max="11010" width="9" style="21" customWidth="1"/>
    <col min="11011" max="11011" width="10.09765625" style="21" customWidth="1"/>
    <col min="11012" max="11012" width="9.3984375" style="21" customWidth="1"/>
    <col min="11013" max="11013" width="8.3984375" style="21" customWidth="1"/>
    <col min="11014" max="11014" width="7.3984375" style="21" customWidth="1"/>
    <col min="11015" max="11015" width="7.19921875" style="21" customWidth="1"/>
    <col min="11016" max="11016" width="16.19921875" style="21" customWidth="1"/>
    <col min="11017" max="11017" width="16.69921875" style="21" customWidth="1"/>
    <col min="11018" max="11018" width="10.09765625" style="21" customWidth="1"/>
    <col min="11019" max="11019" width="16.09765625" style="21" customWidth="1"/>
    <col min="11020" max="11020" width="13.09765625" style="21" customWidth="1"/>
    <col min="11021" max="11021" width="14.3984375" style="21" customWidth="1"/>
    <col min="11022" max="11022" width="11.69921875" style="21" bestFit="1" customWidth="1"/>
    <col min="11023" max="11262" width="8.796875" style="21"/>
    <col min="11263" max="11263" width="4.09765625" style="21" bestFit="1" customWidth="1"/>
    <col min="11264" max="11264" width="21.3984375" style="21" customWidth="1"/>
    <col min="11265" max="11265" width="8.3984375" style="21" customWidth="1"/>
    <col min="11266" max="11266" width="9" style="21" customWidth="1"/>
    <col min="11267" max="11267" width="10.09765625" style="21" customWidth="1"/>
    <col min="11268" max="11268" width="9.3984375" style="21" customWidth="1"/>
    <col min="11269" max="11269" width="8.3984375" style="21" customWidth="1"/>
    <col min="11270" max="11270" width="7.3984375" style="21" customWidth="1"/>
    <col min="11271" max="11271" width="7.19921875" style="21" customWidth="1"/>
    <col min="11272" max="11272" width="16.19921875" style="21" customWidth="1"/>
    <col min="11273" max="11273" width="16.69921875" style="21" customWidth="1"/>
    <col min="11274" max="11274" width="10.09765625" style="21" customWidth="1"/>
    <col min="11275" max="11275" width="16.09765625" style="21" customWidth="1"/>
    <col min="11276" max="11276" width="13.09765625" style="21" customWidth="1"/>
    <col min="11277" max="11277" width="14.3984375" style="21" customWidth="1"/>
    <col min="11278" max="11278" width="11.69921875" style="21" bestFit="1" customWidth="1"/>
    <col min="11279" max="11518" width="8.796875" style="21"/>
    <col min="11519" max="11519" width="4.09765625" style="21" bestFit="1" customWidth="1"/>
    <col min="11520" max="11520" width="21.3984375" style="21" customWidth="1"/>
    <col min="11521" max="11521" width="8.3984375" style="21" customWidth="1"/>
    <col min="11522" max="11522" width="9" style="21" customWidth="1"/>
    <col min="11523" max="11523" width="10.09765625" style="21" customWidth="1"/>
    <col min="11524" max="11524" width="9.3984375" style="21" customWidth="1"/>
    <col min="11525" max="11525" width="8.3984375" style="21" customWidth="1"/>
    <col min="11526" max="11526" width="7.3984375" style="21" customWidth="1"/>
    <col min="11527" max="11527" width="7.19921875" style="21" customWidth="1"/>
    <col min="11528" max="11528" width="16.19921875" style="21" customWidth="1"/>
    <col min="11529" max="11529" width="16.69921875" style="21" customWidth="1"/>
    <col min="11530" max="11530" width="10.09765625" style="21" customWidth="1"/>
    <col min="11531" max="11531" width="16.09765625" style="21" customWidth="1"/>
    <col min="11532" max="11532" width="13.09765625" style="21" customWidth="1"/>
    <col min="11533" max="11533" width="14.3984375" style="21" customWidth="1"/>
    <col min="11534" max="11534" width="11.69921875" style="21" bestFit="1" customWidth="1"/>
    <col min="11535" max="11774" width="8.796875" style="21"/>
    <col min="11775" max="11775" width="4.09765625" style="21" bestFit="1" customWidth="1"/>
    <col min="11776" max="11776" width="21.3984375" style="21" customWidth="1"/>
    <col min="11777" max="11777" width="8.3984375" style="21" customWidth="1"/>
    <col min="11778" max="11778" width="9" style="21" customWidth="1"/>
    <col min="11779" max="11779" width="10.09765625" style="21" customWidth="1"/>
    <col min="11780" max="11780" width="9.3984375" style="21" customWidth="1"/>
    <col min="11781" max="11781" width="8.3984375" style="21" customWidth="1"/>
    <col min="11782" max="11782" width="7.3984375" style="21" customWidth="1"/>
    <col min="11783" max="11783" width="7.19921875" style="21" customWidth="1"/>
    <col min="11784" max="11784" width="16.19921875" style="21" customWidth="1"/>
    <col min="11785" max="11785" width="16.69921875" style="21" customWidth="1"/>
    <col min="11786" max="11786" width="10.09765625" style="21" customWidth="1"/>
    <col min="11787" max="11787" width="16.09765625" style="21" customWidth="1"/>
    <col min="11788" max="11788" width="13.09765625" style="21" customWidth="1"/>
    <col min="11789" max="11789" width="14.3984375" style="21" customWidth="1"/>
    <col min="11790" max="11790" width="11.69921875" style="21" bestFit="1" customWidth="1"/>
    <col min="11791" max="12030" width="8.796875" style="21"/>
    <col min="12031" max="12031" width="4.09765625" style="21" bestFit="1" customWidth="1"/>
    <col min="12032" max="12032" width="21.3984375" style="21" customWidth="1"/>
    <col min="12033" max="12033" width="8.3984375" style="21" customWidth="1"/>
    <col min="12034" max="12034" width="9" style="21" customWidth="1"/>
    <col min="12035" max="12035" width="10.09765625" style="21" customWidth="1"/>
    <col min="12036" max="12036" width="9.3984375" style="21" customWidth="1"/>
    <col min="12037" max="12037" width="8.3984375" style="21" customWidth="1"/>
    <col min="12038" max="12038" width="7.3984375" style="21" customWidth="1"/>
    <col min="12039" max="12039" width="7.19921875" style="21" customWidth="1"/>
    <col min="12040" max="12040" width="16.19921875" style="21" customWidth="1"/>
    <col min="12041" max="12041" width="16.69921875" style="21" customWidth="1"/>
    <col min="12042" max="12042" width="10.09765625" style="21" customWidth="1"/>
    <col min="12043" max="12043" width="16.09765625" style="21" customWidth="1"/>
    <col min="12044" max="12044" width="13.09765625" style="21" customWidth="1"/>
    <col min="12045" max="12045" width="14.3984375" style="21" customWidth="1"/>
    <col min="12046" max="12046" width="11.69921875" style="21" bestFit="1" customWidth="1"/>
    <col min="12047" max="12286" width="8.796875" style="21"/>
    <col min="12287" max="12287" width="4.09765625" style="21" bestFit="1" customWidth="1"/>
    <col min="12288" max="12288" width="21.3984375" style="21" customWidth="1"/>
    <col min="12289" max="12289" width="8.3984375" style="21" customWidth="1"/>
    <col min="12290" max="12290" width="9" style="21" customWidth="1"/>
    <col min="12291" max="12291" width="10.09765625" style="21" customWidth="1"/>
    <col min="12292" max="12292" width="9.3984375" style="21" customWidth="1"/>
    <col min="12293" max="12293" width="8.3984375" style="21" customWidth="1"/>
    <col min="12294" max="12294" width="7.3984375" style="21" customWidth="1"/>
    <col min="12295" max="12295" width="7.19921875" style="21" customWidth="1"/>
    <col min="12296" max="12296" width="16.19921875" style="21" customWidth="1"/>
    <col min="12297" max="12297" width="16.69921875" style="21" customWidth="1"/>
    <col min="12298" max="12298" width="10.09765625" style="21" customWidth="1"/>
    <col min="12299" max="12299" width="16.09765625" style="21" customWidth="1"/>
    <col min="12300" max="12300" width="13.09765625" style="21" customWidth="1"/>
    <col min="12301" max="12301" width="14.3984375" style="21" customWidth="1"/>
    <col min="12302" max="12302" width="11.69921875" style="21" bestFit="1" customWidth="1"/>
    <col min="12303" max="12542" width="8.796875" style="21"/>
    <col min="12543" max="12543" width="4.09765625" style="21" bestFit="1" customWidth="1"/>
    <col min="12544" max="12544" width="21.3984375" style="21" customWidth="1"/>
    <col min="12545" max="12545" width="8.3984375" style="21" customWidth="1"/>
    <col min="12546" max="12546" width="9" style="21" customWidth="1"/>
    <col min="12547" max="12547" width="10.09765625" style="21" customWidth="1"/>
    <col min="12548" max="12548" width="9.3984375" style="21" customWidth="1"/>
    <col min="12549" max="12549" width="8.3984375" style="21" customWidth="1"/>
    <col min="12550" max="12550" width="7.3984375" style="21" customWidth="1"/>
    <col min="12551" max="12551" width="7.19921875" style="21" customWidth="1"/>
    <col min="12552" max="12552" width="16.19921875" style="21" customWidth="1"/>
    <col min="12553" max="12553" width="16.69921875" style="21" customWidth="1"/>
    <col min="12554" max="12554" width="10.09765625" style="21" customWidth="1"/>
    <col min="12555" max="12555" width="16.09765625" style="21" customWidth="1"/>
    <col min="12556" max="12556" width="13.09765625" style="21" customWidth="1"/>
    <col min="12557" max="12557" width="14.3984375" style="21" customWidth="1"/>
    <col min="12558" max="12558" width="11.69921875" style="21" bestFit="1" customWidth="1"/>
    <col min="12559" max="12798" width="8.796875" style="21"/>
    <col min="12799" max="12799" width="4.09765625" style="21" bestFit="1" customWidth="1"/>
    <col min="12800" max="12800" width="21.3984375" style="21" customWidth="1"/>
    <col min="12801" max="12801" width="8.3984375" style="21" customWidth="1"/>
    <col min="12802" max="12802" width="9" style="21" customWidth="1"/>
    <col min="12803" max="12803" width="10.09765625" style="21" customWidth="1"/>
    <col min="12804" max="12804" width="9.3984375" style="21" customWidth="1"/>
    <col min="12805" max="12805" width="8.3984375" style="21" customWidth="1"/>
    <col min="12806" max="12806" width="7.3984375" style="21" customWidth="1"/>
    <col min="12807" max="12807" width="7.19921875" style="21" customWidth="1"/>
    <col min="12808" max="12808" width="16.19921875" style="21" customWidth="1"/>
    <col min="12809" max="12809" width="16.69921875" style="21" customWidth="1"/>
    <col min="12810" max="12810" width="10.09765625" style="21" customWidth="1"/>
    <col min="12811" max="12811" width="16.09765625" style="21" customWidth="1"/>
    <col min="12812" max="12812" width="13.09765625" style="21" customWidth="1"/>
    <col min="12813" max="12813" width="14.3984375" style="21" customWidth="1"/>
    <col min="12814" max="12814" width="11.69921875" style="21" bestFit="1" customWidth="1"/>
    <col min="12815" max="13054" width="8.796875" style="21"/>
    <col min="13055" max="13055" width="4.09765625" style="21" bestFit="1" customWidth="1"/>
    <col min="13056" max="13056" width="21.3984375" style="21" customWidth="1"/>
    <col min="13057" max="13057" width="8.3984375" style="21" customWidth="1"/>
    <col min="13058" max="13058" width="9" style="21" customWidth="1"/>
    <col min="13059" max="13059" width="10.09765625" style="21" customWidth="1"/>
    <col min="13060" max="13060" width="9.3984375" style="21" customWidth="1"/>
    <col min="13061" max="13061" width="8.3984375" style="21" customWidth="1"/>
    <col min="13062" max="13062" width="7.3984375" style="21" customWidth="1"/>
    <col min="13063" max="13063" width="7.19921875" style="21" customWidth="1"/>
    <col min="13064" max="13064" width="16.19921875" style="21" customWidth="1"/>
    <col min="13065" max="13065" width="16.69921875" style="21" customWidth="1"/>
    <col min="13066" max="13066" width="10.09765625" style="21" customWidth="1"/>
    <col min="13067" max="13067" width="16.09765625" style="21" customWidth="1"/>
    <col min="13068" max="13068" width="13.09765625" style="21" customWidth="1"/>
    <col min="13069" max="13069" width="14.3984375" style="21" customWidth="1"/>
    <col min="13070" max="13070" width="11.69921875" style="21" bestFit="1" customWidth="1"/>
    <col min="13071" max="13310" width="8.796875" style="21"/>
    <col min="13311" max="13311" width="4.09765625" style="21" bestFit="1" customWidth="1"/>
    <col min="13312" max="13312" width="21.3984375" style="21" customWidth="1"/>
    <col min="13313" max="13313" width="8.3984375" style="21" customWidth="1"/>
    <col min="13314" max="13314" width="9" style="21" customWidth="1"/>
    <col min="13315" max="13315" width="10.09765625" style="21" customWidth="1"/>
    <col min="13316" max="13316" width="9.3984375" style="21" customWidth="1"/>
    <col min="13317" max="13317" width="8.3984375" style="21" customWidth="1"/>
    <col min="13318" max="13318" width="7.3984375" style="21" customWidth="1"/>
    <col min="13319" max="13319" width="7.19921875" style="21" customWidth="1"/>
    <col min="13320" max="13320" width="16.19921875" style="21" customWidth="1"/>
    <col min="13321" max="13321" width="16.69921875" style="21" customWidth="1"/>
    <col min="13322" max="13322" width="10.09765625" style="21" customWidth="1"/>
    <col min="13323" max="13323" width="16.09765625" style="21" customWidth="1"/>
    <col min="13324" max="13324" width="13.09765625" style="21" customWidth="1"/>
    <col min="13325" max="13325" width="14.3984375" style="21" customWidth="1"/>
    <col min="13326" max="13326" width="11.69921875" style="21" bestFit="1" customWidth="1"/>
    <col min="13327" max="13566" width="8.796875" style="21"/>
    <col min="13567" max="13567" width="4.09765625" style="21" bestFit="1" customWidth="1"/>
    <col min="13568" max="13568" width="21.3984375" style="21" customWidth="1"/>
    <col min="13569" max="13569" width="8.3984375" style="21" customWidth="1"/>
    <col min="13570" max="13570" width="9" style="21" customWidth="1"/>
    <col min="13571" max="13571" width="10.09765625" style="21" customWidth="1"/>
    <col min="13572" max="13572" width="9.3984375" style="21" customWidth="1"/>
    <col min="13573" max="13573" width="8.3984375" style="21" customWidth="1"/>
    <col min="13574" max="13574" width="7.3984375" style="21" customWidth="1"/>
    <col min="13575" max="13575" width="7.19921875" style="21" customWidth="1"/>
    <col min="13576" max="13576" width="16.19921875" style="21" customWidth="1"/>
    <col min="13577" max="13577" width="16.69921875" style="21" customWidth="1"/>
    <col min="13578" max="13578" width="10.09765625" style="21" customWidth="1"/>
    <col min="13579" max="13579" width="16.09765625" style="21" customWidth="1"/>
    <col min="13580" max="13580" width="13.09765625" style="21" customWidth="1"/>
    <col min="13581" max="13581" width="14.3984375" style="21" customWidth="1"/>
    <col min="13582" max="13582" width="11.69921875" style="21" bestFit="1" customWidth="1"/>
    <col min="13583" max="13822" width="8.796875" style="21"/>
    <col min="13823" max="13823" width="4.09765625" style="21" bestFit="1" customWidth="1"/>
    <col min="13824" max="13824" width="21.3984375" style="21" customWidth="1"/>
    <col min="13825" max="13825" width="8.3984375" style="21" customWidth="1"/>
    <col min="13826" max="13826" width="9" style="21" customWidth="1"/>
    <col min="13827" max="13827" width="10.09765625" style="21" customWidth="1"/>
    <col min="13828" max="13828" width="9.3984375" style="21" customWidth="1"/>
    <col min="13829" max="13829" width="8.3984375" style="21" customWidth="1"/>
    <col min="13830" max="13830" width="7.3984375" style="21" customWidth="1"/>
    <col min="13831" max="13831" width="7.19921875" style="21" customWidth="1"/>
    <col min="13832" max="13832" width="16.19921875" style="21" customWidth="1"/>
    <col min="13833" max="13833" width="16.69921875" style="21" customWidth="1"/>
    <col min="13834" max="13834" width="10.09765625" style="21" customWidth="1"/>
    <col min="13835" max="13835" width="16.09765625" style="21" customWidth="1"/>
    <col min="13836" max="13836" width="13.09765625" style="21" customWidth="1"/>
    <col min="13837" max="13837" width="14.3984375" style="21" customWidth="1"/>
    <col min="13838" max="13838" width="11.69921875" style="21" bestFit="1" customWidth="1"/>
    <col min="13839" max="14078" width="8.796875" style="21"/>
    <col min="14079" max="14079" width="4.09765625" style="21" bestFit="1" customWidth="1"/>
    <col min="14080" max="14080" width="21.3984375" style="21" customWidth="1"/>
    <col min="14081" max="14081" width="8.3984375" style="21" customWidth="1"/>
    <col min="14082" max="14082" width="9" style="21" customWidth="1"/>
    <col min="14083" max="14083" width="10.09765625" style="21" customWidth="1"/>
    <col min="14084" max="14084" width="9.3984375" style="21" customWidth="1"/>
    <col min="14085" max="14085" width="8.3984375" style="21" customWidth="1"/>
    <col min="14086" max="14086" width="7.3984375" style="21" customWidth="1"/>
    <col min="14087" max="14087" width="7.19921875" style="21" customWidth="1"/>
    <col min="14088" max="14088" width="16.19921875" style="21" customWidth="1"/>
    <col min="14089" max="14089" width="16.69921875" style="21" customWidth="1"/>
    <col min="14090" max="14090" width="10.09765625" style="21" customWidth="1"/>
    <col min="14091" max="14091" width="16.09765625" style="21" customWidth="1"/>
    <col min="14092" max="14092" width="13.09765625" style="21" customWidth="1"/>
    <col min="14093" max="14093" width="14.3984375" style="21" customWidth="1"/>
    <col min="14094" max="14094" width="11.69921875" style="21" bestFit="1" customWidth="1"/>
    <col min="14095" max="14334" width="8.796875" style="21"/>
    <col min="14335" max="14335" width="4.09765625" style="21" bestFit="1" customWidth="1"/>
    <col min="14336" max="14336" width="21.3984375" style="21" customWidth="1"/>
    <col min="14337" max="14337" width="8.3984375" style="21" customWidth="1"/>
    <col min="14338" max="14338" width="9" style="21" customWidth="1"/>
    <col min="14339" max="14339" width="10.09765625" style="21" customWidth="1"/>
    <col min="14340" max="14340" width="9.3984375" style="21" customWidth="1"/>
    <col min="14341" max="14341" width="8.3984375" style="21" customWidth="1"/>
    <col min="14342" max="14342" width="7.3984375" style="21" customWidth="1"/>
    <col min="14343" max="14343" width="7.19921875" style="21" customWidth="1"/>
    <col min="14344" max="14344" width="16.19921875" style="21" customWidth="1"/>
    <col min="14345" max="14345" width="16.69921875" style="21" customWidth="1"/>
    <col min="14346" max="14346" width="10.09765625" style="21" customWidth="1"/>
    <col min="14347" max="14347" width="16.09765625" style="21" customWidth="1"/>
    <col min="14348" max="14348" width="13.09765625" style="21" customWidth="1"/>
    <col min="14349" max="14349" width="14.3984375" style="21" customWidth="1"/>
    <col min="14350" max="14350" width="11.69921875" style="21" bestFit="1" customWidth="1"/>
    <col min="14351" max="14590" width="8.796875" style="21"/>
    <col min="14591" max="14591" width="4.09765625" style="21" bestFit="1" customWidth="1"/>
    <col min="14592" max="14592" width="21.3984375" style="21" customWidth="1"/>
    <col min="14593" max="14593" width="8.3984375" style="21" customWidth="1"/>
    <col min="14594" max="14594" width="9" style="21" customWidth="1"/>
    <col min="14595" max="14595" width="10.09765625" style="21" customWidth="1"/>
    <col min="14596" max="14596" width="9.3984375" style="21" customWidth="1"/>
    <col min="14597" max="14597" width="8.3984375" style="21" customWidth="1"/>
    <col min="14598" max="14598" width="7.3984375" style="21" customWidth="1"/>
    <col min="14599" max="14599" width="7.19921875" style="21" customWidth="1"/>
    <col min="14600" max="14600" width="16.19921875" style="21" customWidth="1"/>
    <col min="14601" max="14601" width="16.69921875" style="21" customWidth="1"/>
    <col min="14602" max="14602" width="10.09765625" style="21" customWidth="1"/>
    <col min="14603" max="14603" width="16.09765625" style="21" customWidth="1"/>
    <col min="14604" max="14604" width="13.09765625" style="21" customWidth="1"/>
    <col min="14605" max="14605" width="14.3984375" style="21" customWidth="1"/>
    <col min="14606" max="14606" width="11.69921875" style="21" bestFit="1" customWidth="1"/>
    <col min="14607" max="14846" width="8.796875" style="21"/>
    <col min="14847" max="14847" width="4.09765625" style="21" bestFit="1" customWidth="1"/>
    <col min="14848" max="14848" width="21.3984375" style="21" customWidth="1"/>
    <col min="14849" max="14849" width="8.3984375" style="21" customWidth="1"/>
    <col min="14850" max="14850" width="9" style="21" customWidth="1"/>
    <col min="14851" max="14851" width="10.09765625" style="21" customWidth="1"/>
    <col min="14852" max="14852" width="9.3984375" style="21" customWidth="1"/>
    <col min="14853" max="14853" width="8.3984375" style="21" customWidth="1"/>
    <col min="14854" max="14854" width="7.3984375" style="21" customWidth="1"/>
    <col min="14855" max="14855" width="7.19921875" style="21" customWidth="1"/>
    <col min="14856" max="14856" width="16.19921875" style="21" customWidth="1"/>
    <col min="14857" max="14857" width="16.69921875" style="21" customWidth="1"/>
    <col min="14858" max="14858" width="10.09765625" style="21" customWidth="1"/>
    <col min="14859" max="14859" width="16.09765625" style="21" customWidth="1"/>
    <col min="14860" max="14860" width="13.09765625" style="21" customWidth="1"/>
    <col min="14861" max="14861" width="14.3984375" style="21" customWidth="1"/>
    <col min="14862" max="14862" width="11.69921875" style="21" bestFit="1" customWidth="1"/>
    <col min="14863" max="15102" width="8.796875" style="21"/>
    <col min="15103" max="15103" width="4.09765625" style="21" bestFit="1" customWidth="1"/>
    <col min="15104" max="15104" width="21.3984375" style="21" customWidth="1"/>
    <col min="15105" max="15105" width="8.3984375" style="21" customWidth="1"/>
    <col min="15106" max="15106" width="9" style="21" customWidth="1"/>
    <col min="15107" max="15107" width="10.09765625" style="21" customWidth="1"/>
    <col min="15108" max="15108" width="9.3984375" style="21" customWidth="1"/>
    <col min="15109" max="15109" width="8.3984375" style="21" customWidth="1"/>
    <col min="15110" max="15110" width="7.3984375" style="21" customWidth="1"/>
    <col min="15111" max="15111" width="7.19921875" style="21" customWidth="1"/>
    <col min="15112" max="15112" width="16.19921875" style="21" customWidth="1"/>
    <col min="15113" max="15113" width="16.69921875" style="21" customWidth="1"/>
    <col min="15114" max="15114" width="10.09765625" style="21" customWidth="1"/>
    <col min="15115" max="15115" width="16.09765625" style="21" customWidth="1"/>
    <col min="15116" max="15116" width="13.09765625" style="21" customWidth="1"/>
    <col min="15117" max="15117" width="14.3984375" style="21" customWidth="1"/>
    <col min="15118" max="15118" width="11.69921875" style="21" bestFit="1" customWidth="1"/>
    <col min="15119" max="15358" width="8.796875" style="21"/>
    <col min="15359" max="15359" width="4.09765625" style="21" bestFit="1" customWidth="1"/>
    <col min="15360" max="15360" width="21.3984375" style="21" customWidth="1"/>
    <col min="15361" max="15361" width="8.3984375" style="21" customWidth="1"/>
    <col min="15362" max="15362" width="9" style="21" customWidth="1"/>
    <col min="15363" max="15363" width="10.09765625" style="21" customWidth="1"/>
    <col min="15364" max="15364" width="9.3984375" style="21" customWidth="1"/>
    <col min="15365" max="15365" width="8.3984375" style="21" customWidth="1"/>
    <col min="15366" max="15366" width="7.3984375" style="21" customWidth="1"/>
    <col min="15367" max="15367" width="7.19921875" style="21" customWidth="1"/>
    <col min="15368" max="15368" width="16.19921875" style="21" customWidth="1"/>
    <col min="15369" max="15369" width="16.69921875" style="21" customWidth="1"/>
    <col min="15370" max="15370" width="10.09765625" style="21" customWidth="1"/>
    <col min="15371" max="15371" width="16.09765625" style="21" customWidth="1"/>
    <col min="15372" max="15372" width="13.09765625" style="21" customWidth="1"/>
    <col min="15373" max="15373" width="14.3984375" style="21" customWidth="1"/>
    <col min="15374" max="15374" width="11.69921875" style="21" bestFit="1" customWidth="1"/>
    <col min="15375" max="15614" width="8.796875" style="21"/>
    <col min="15615" max="15615" width="4.09765625" style="21" bestFit="1" customWidth="1"/>
    <col min="15616" max="15616" width="21.3984375" style="21" customWidth="1"/>
    <col min="15617" max="15617" width="8.3984375" style="21" customWidth="1"/>
    <col min="15618" max="15618" width="9" style="21" customWidth="1"/>
    <col min="15619" max="15619" width="10.09765625" style="21" customWidth="1"/>
    <col min="15620" max="15620" width="9.3984375" style="21" customWidth="1"/>
    <col min="15621" max="15621" width="8.3984375" style="21" customWidth="1"/>
    <col min="15622" max="15622" width="7.3984375" style="21" customWidth="1"/>
    <col min="15623" max="15623" width="7.19921875" style="21" customWidth="1"/>
    <col min="15624" max="15624" width="16.19921875" style="21" customWidth="1"/>
    <col min="15625" max="15625" width="16.69921875" style="21" customWidth="1"/>
    <col min="15626" max="15626" width="10.09765625" style="21" customWidth="1"/>
    <col min="15627" max="15627" width="16.09765625" style="21" customWidth="1"/>
    <col min="15628" max="15628" width="13.09765625" style="21" customWidth="1"/>
    <col min="15629" max="15629" width="14.3984375" style="21" customWidth="1"/>
    <col min="15630" max="15630" width="11.69921875" style="21" bestFit="1" customWidth="1"/>
    <col min="15631" max="15870" width="8.796875" style="21"/>
    <col min="15871" max="15871" width="4.09765625" style="21" bestFit="1" customWidth="1"/>
    <col min="15872" max="15872" width="21.3984375" style="21" customWidth="1"/>
    <col min="15873" max="15873" width="8.3984375" style="21" customWidth="1"/>
    <col min="15874" max="15874" width="9" style="21" customWidth="1"/>
    <col min="15875" max="15875" width="10.09765625" style="21" customWidth="1"/>
    <col min="15876" max="15876" width="9.3984375" style="21" customWidth="1"/>
    <col min="15877" max="15877" width="8.3984375" style="21" customWidth="1"/>
    <col min="15878" max="15878" width="7.3984375" style="21" customWidth="1"/>
    <col min="15879" max="15879" width="7.19921875" style="21" customWidth="1"/>
    <col min="15880" max="15880" width="16.19921875" style="21" customWidth="1"/>
    <col min="15881" max="15881" width="16.69921875" style="21" customWidth="1"/>
    <col min="15882" max="15882" width="10.09765625" style="21" customWidth="1"/>
    <col min="15883" max="15883" width="16.09765625" style="21" customWidth="1"/>
    <col min="15884" max="15884" width="13.09765625" style="21" customWidth="1"/>
    <col min="15885" max="15885" width="14.3984375" style="21" customWidth="1"/>
    <col min="15886" max="15886" width="11.69921875" style="21" bestFit="1" customWidth="1"/>
    <col min="15887" max="16126" width="8.796875" style="21"/>
    <col min="16127" max="16127" width="4.09765625" style="21" bestFit="1" customWidth="1"/>
    <col min="16128" max="16128" width="21.3984375" style="21" customWidth="1"/>
    <col min="16129" max="16129" width="8.3984375" style="21" customWidth="1"/>
    <col min="16130" max="16130" width="9" style="21" customWidth="1"/>
    <col min="16131" max="16131" width="10.09765625" style="21" customWidth="1"/>
    <col min="16132" max="16132" width="9.3984375" style="21" customWidth="1"/>
    <col min="16133" max="16133" width="8.3984375" style="21" customWidth="1"/>
    <col min="16134" max="16134" width="7.3984375" style="21" customWidth="1"/>
    <col min="16135" max="16135" width="7.19921875" style="21" customWidth="1"/>
    <col min="16136" max="16136" width="16.19921875" style="21" customWidth="1"/>
    <col min="16137" max="16137" width="16.69921875" style="21" customWidth="1"/>
    <col min="16138" max="16138" width="10.09765625" style="21" customWidth="1"/>
    <col min="16139" max="16139" width="16.09765625" style="21" customWidth="1"/>
    <col min="16140" max="16140" width="13.09765625" style="21" customWidth="1"/>
    <col min="16141" max="16141" width="14.3984375" style="21" customWidth="1"/>
    <col min="16142" max="16142" width="11.69921875" style="21" bestFit="1" customWidth="1"/>
    <col min="16143" max="16384" width="8.796875" style="21"/>
  </cols>
  <sheetData>
    <row r="1" spans="1:17" x14ac:dyDescent="0.25">
      <c r="A1" s="701"/>
      <c r="B1" s="701"/>
      <c r="C1" s="701"/>
      <c r="D1" s="701"/>
      <c r="N1" s="287"/>
    </row>
    <row r="2" spans="1:17" x14ac:dyDescent="0.25">
      <c r="A2" s="702"/>
      <c r="B2" s="702"/>
      <c r="C2" s="702"/>
      <c r="D2" s="702"/>
    </row>
    <row r="3" spans="1:17" s="22" customFormat="1" ht="16.5" customHeight="1" x14ac:dyDescent="0.25">
      <c r="A3" s="703" t="s">
        <v>981</v>
      </c>
      <c r="B3" s="703"/>
      <c r="C3" s="703"/>
      <c r="D3" s="703"/>
      <c r="E3" s="703"/>
      <c r="F3" s="703"/>
      <c r="G3" s="703"/>
      <c r="H3" s="703"/>
      <c r="I3" s="703"/>
      <c r="J3" s="703"/>
      <c r="K3" s="703"/>
      <c r="L3" s="703"/>
      <c r="M3" s="703"/>
      <c r="N3" s="703"/>
      <c r="O3" s="703"/>
      <c r="P3" s="703"/>
      <c r="Q3" s="703"/>
    </row>
    <row r="4" spans="1:17" x14ac:dyDescent="0.25">
      <c r="A4" s="23"/>
      <c r="B4" s="24"/>
      <c r="N4" s="542"/>
    </row>
    <row r="5" spans="1:17" s="31" customFormat="1" ht="20.25" customHeight="1" x14ac:dyDescent="0.25">
      <c r="A5" s="704" t="s">
        <v>6</v>
      </c>
      <c r="B5" s="704" t="s">
        <v>0</v>
      </c>
      <c r="C5" s="704" t="s">
        <v>64</v>
      </c>
      <c r="D5" s="706" t="s">
        <v>54</v>
      </c>
      <c r="E5" s="707"/>
      <c r="F5" s="707"/>
      <c r="G5" s="707"/>
      <c r="H5" s="707"/>
      <c r="I5" s="704" t="s">
        <v>217</v>
      </c>
      <c r="J5" s="696" t="s">
        <v>1004</v>
      </c>
      <c r="K5" s="696" t="s">
        <v>1005</v>
      </c>
      <c r="L5" s="609" t="s">
        <v>999</v>
      </c>
      <c r="M5" s="610"/>
      <c r="N5" s="696" t="s">
        <v>216</v>
      </c>
      <c r="O5" s="698" t="s">
        <v>394</v>
      </c>
      <c r="P5" s="699"/>
      <c r="Q5" s="700"/>
    </row>
    <row r="6" spans="1:17" s="26" customFormat="1" ht="71.25" customHeight="1" x14ac:dyDescent="0.3">
      <c r="A6" s="705"/>
      <c r="B6" s="705"/>
      <c r="C6" s="705"/>
      <c r="D6" s="608" t="s">
        <v>57</v>
      </c>
      <c r="E6" s="611" t="s">
        <v>59</v>
      </c>
      <c r="F6" s="611" t="s">
        <v>67</v>
      </c>
      <c r="G6" s="611" t="s">
        <v>60</v>
      </c>
      <c r="H6" s="611" t="s">
        <v>998</v>
      </c>
      <c r="I6" s="705"/>
      <c r="J6" s="697"/>
      <c r="K6" s="697"/>
      <c r="L6" s="611" t="s">
        <v>68</v>
      </c>
      <c r="M6" s="611" t="s">
        <v>1014</v>
      </c>
      <c r="N6" s="697"/>
      <c r="O6" s="612" t="s">
        <v>302</v>
      </c>
      <c r="P6" s="612" t="s">
        <v>378</v>
      </c>
      <c r="Q6" s="612" t="s">
        <v>379</v>
      </c>
    </row>
    <row r="7" spans="1:17" s="1" customFormat="1" ht="30" x14ac:dyDescent="0.3">
      <c r="A7" s="613" t="s">
        <v>15</v>
      </c>
      <c r="B7" s="613" t="s">
        <v>16</v>
      </c>
      <c r="C7" s="613">
        <v>1</v>
      </c>
      <c r="D7" s="613" t="s">
        <v>70</v>
      </c>
      <c r="E7" s="613" t="s">
        <v>1000</v>
      </c>
      <c r="F7" s="613" t="s">
        <v>1001</v>
      </c>
      <c r="G7" s="613" t="s">
        <v>71</v>
      </c>
      <c r="H7" s="613" t="s">
        <v>72</v>
      </c>
      <c r="I7" s="613" t="s">
        <v>1002</v>
      </c>
      <c r="J7" s="614" t="s">
        <v>1003</v>
      </c>
      <c r="K7" s="614" t="s">
        <v>1007</v>
      </c>
      <c r="L7" s="613" t="s">
        <v>1006</v>
      </c>
      <c r="M7" s="613" t="s">
        <v>819</v>
      </c>
      <c r="N7" s="615" t="s">
        <v>1008</v>
      </c>
      <c r="O7" s="616" t="s">
        <v>821</v>
      </c>
      <c r="P7" s="616" t="s">
        <v>1009</v>
      </c>
      <c r="Q7" s="613" t="s">
        <v>1010</v>
      </c>
    </row>
    <row r="8" spans="1:17" s="27" customFormat="1" ht="24.75" customHeight="1" x14ac:dyDescent="0.3">
      <c r="A8" s="617" t="s">
        <v>5</v>
      </c>
      <c r="B8" s="618" t="s">
        <v>73</v>
      </c>
      <c r="C8" s="619">
        <f>SUM(C9:C60)</f>
        <v>195.66999999999996</v>
      </c>
      <c r="D8" s="619">
        <f t="shared" ref="D8:H8" si="0">SUM(D9:D152)</f>
        <v>7.2489999999999997</v>
      </c>
      <c r="E8" s="619">
        <f t="shared" si="0"/>
        <v>6.6</v>
      </c>
      <c r="F8" s="619">
        <f t="shared" si="0"/>
        <v>0.1</v>
      </c>
      <c r="G8" s="619">
        <f t="shared" si="0"/>
        <v>0.30000000000000004</v>
      </c>
      <c r="H8" s="620">
        <f t="shared" si="0"/>
        <v>0.249</v>
      </c>
      <c r="I8" s="621">
        <f t="shared" ref="I8:J8" si="1">SUBTOTAL(9,I9:I60)</f>
        <v>5697965520</v>
      </c>
      <c r="J8" s="621">
        <f t="shared" si="1"/>
        <v>1336382377.2</v>
      </c>
      <c r="K8" s="621">
        <f>SUBTOTAL(9,K9:K60)</f>
        <v>7034347897.1999998</v>
      </c>
      <c r="L8" s="621">
        <f>SUM(L9:L152)</f>
        <v>10100000</v>
      </c>
      <c r="M8" s="621">
        <f>SUBTOTAL(9,M10:M60)</f>
        <v>3000000</v>
      </c>
      <c r="N8" s="621">
        <f>SUM(N9:N60)</f>
        <v>7047447897.1999998</v>
      </c>
      <c r="O8" s="621">
        <f>SUM(O9:O60)</f>
        <v>7047447897.1999998</v>
      </c>
      <c r="P8" s="621">
        <f t="shared" ref="P8:Q8" si="2">SUM(P9:P60)</f>
        <v>0</v>
      </c>
      <c r="Q8" s="621">
        <f t="shared" si="2"/>
        <v>0</v>
      </c>
    </row>
    <row r="9" spans="1:17" s="28" customFormat="1" ht="33" customHeight="1" x14ac:dyDescent="0.3">
      <c r="A9" s="622">
        <v>1</v>
      </c>
      <c r="B9" s="623" t="s">
        <v>74</v>
      </c>
      <c r="C9" s="624">
        <v>5.0199999999999996</v>
      </c>
      <c r="D9" s="625">
        <f>+E9+F9+G9+H9</f>
        <v>0.6</v>
      </c>
      <c r="E9" s="626">
        <v>0.6</v>
      </c>
      <c r="F9" s="626"/>
      <c r="G9" s="626">
        <v>0</v>
      </c>
      <c r="H9" s="626"/>
      <c r="I9" s="627">
        <f>(C9+D9)*2340000*12</f>
        <v>157809599.99999997</v>
      </c>
      <c r="J9" s="627">
        <f>(C9+E9+H9)*2340000*23.5%*12</f>
        <v>37085255.999999993</v>
      </c>
      <c r="K9" s="627">
        <f>J9+I9</f>
        <v>194894855.99999997</v>
      </c>
      <c r="L9" s="628">
        <v>450000</v>
      </c>
      <c r="M9" s="628"/>
      <c r="N9" s="627">
        <f>SUM(K9:M9)</f>
        <v>195344855.99999997</v>
      </c>
      <c r="O9" s="629">
        <f>N9</f>
        <v>195344855.99999997</v>
      </c>
      <c r="P9" s="630"/>
      <c r="Q9" s="630"/>
    </row>
    <row r="10" spans="1:17" s="28" customFormat="1" ht="19.899999999999999" customHeight="1" x14ac:dyDescent="0.3">
      <c r="A10" s="622">
        <v>2</v>
      </c>
      <c r="B10" s="623" t="s">
        <v>75</v>
      </c>
      <c r="C10" s="624">
        <v>4.34</v>
      </c>
      <c r="D10" s="625">
        <f t="shared" ref="D10:D46" si="3">+E10+F10+G10+H10</f>
        <v>0.4</v>
      </c>
      <c r="E10" s="626">
        <v>0.4</v>
      </c>
      <c r="F10" s="626"/>
      <c r="G10" s="626">
        <v>0</v>
      </c>
      <c r="H10" s="626"/>
      <c r="I10" s="627">
        <f t="shared" ref="I10:I60" si="4">(C10+D10)*2340000*12</f>
        <v>133099200</v>
      </c>
      <c r="J10" s="627">
        <f t="shared" ref="J10:J60" si="5">(C10+E10+H10)*2340000*23.5%*12</f>
        <v>31278312</v>
      </c>
      <c r="K10" s="627">
        <f t="shared" ref="K10:K45" si="6">J10+I10</f>
        <v>164377512</v>
      </c>
      <c r="L10" s="628">
        <v>450000</v>
      </c>
      <c r="M10" s="628"/>
      <c r="N10" s="627">
        <f t="shared" ref="N10:N73" si="7">SUM(K10:M10)</f>
        <v>164827512</v>
      </c>
      <c r="O10" s="629">
        <f t="shared" ref="O10:O46" si="8">N10</f>
        <v>164827512</v>
      </c>
      <c r="P10" s="630"/>
      <c r="Q10" s="630"/>
    </row>
    <row r="11" spans="1:17" s="28" customFormat="1" ht="19.899999999999999" customHeight="1" x14ac:dyDescent="0.3">
      <c r="A11" s="622">
        <v>3</v>
      </c>
      <c r="B11" s="623" t="s">
        <v>76</v>
      </c>
      <c r="C11" s="624">
        <v>4.32</v>
      </c>
      <c r="D11" s="625">
        <f t="shared" si="3"/>
        <v>0.4</v>
      </c>
      <c r="E11" s="626">
        <v>0.4</v>
      </c>
      <c r="F11" s="626"/>
      <c r="G11" s="626">
        <v>0</v>
      </c>
      <c r="H11" s="626"/>
      <c r="I11" s="627">
        <f t="shared" si="4"/>
        <v>132537600.00000003</v>
      </c>
      <c r="J11" s="627">
        <f t="shared" si="5"/>
        <v>31146336.000000007</v>
      </c>
      <c r="K11" s="627">
        <f t="shared" si="6"/>
        <v>163683936.00000003</v>
      </c>
      <c r="L11" s="628">
        <v>450000</v>
      </c>
      <c r="M11" s="628"/>
      <c r="N11" s="627">
        <f t="shared" si="7"/>
        <v>164133936.00000003</v>
      </c>
      <c r="O11" s="629">
        <f t="shared" si="8"/>
        <v>164133936.00000003</v>
      </c>
      <c r="P11" s="630"/>
      <c r="Q11" s="630"/>
    </row>
    <row r="12" spans="1:17" s="28" customFormat="1" ht="19.899999999999999" customHeight="1" x14ac:dyDescent="0.3">
      <c r="A12" s="622">
        <v>4</v>
      </c>
      <c r="B12" s="623" t="s">
        <v>77</v>
      </c>
      <c r="C12" s="624">
        <v>4.32</v>
      </c>
      <c r="D12" s="625">
        <f t="shared" si="3"/>
        <v>0.2</v>
      </c>
      <c r="E12" s="626">
        <v>0.2</v>
      </c>
      <c r="F12" s="626"/>
      <c r="G12" s="626"/>
      <c r="H12" s="626"/>
      <c r="I12" s="627">
        <f t="shared" si="4"/>
        <v>126921600.00000003</v>
      </c>
      <c r="J12" s="627">
        <f t="shared" si="5"/>
        <v>29826576.000000007</v>
      </c>
      <c r="K12" s="627">
        <f t="shared" si="6"/>
        <v>156748176.00000003</v>
      </c>
      <c r="L12" s="628">
        <v>300000</v>
      </c>
      <c r="M12" s="628"/>
      <c r="N12" s="627">
        <f t="shared" si="7"/>
        <v>157048176.00000003</v>
      </c>
      <c r="O12" s="629">
        <f t="shared" si="8"/>
        <v>157048176.00000003</v>
      </c>
      <c r="P12" s="630"/>
      <c r="Q12" s="630"/>
    </row>
    <row r="13" spans="1:17" s="28" customFormat="1" ht="19.899999999999999" customHeight="1" x14ac:dyDescent="0.3">
      <c r="A13" s="622">
        <v>5</v>
      </c>
      <c r="B13" s="623" t="s">
        <v>78</v>
      </c>
      <c r="C13" s="624">
        <v>4.6500000000000004</v>
      </c>
      <c r="D13" s="625">
        <f t="shared" si="3"/>
        <v>0.30000000000000004</v>
      </c>
      <c r="E13" s="626">
        <v>0.2</v>
      </c>
      <c r="F13" s="626"/>
      <c r="G13" s="626">
        <v>0.1</v>
      </c>
      <c r="H13" s="626"/>
      <c r="I13" s="627">
        <f t="shared" si="4"/>
        <v>138996000</v>
      </c>
      <c r="J13" s="627">
        <f t="shared" si="5"/>
        <v>32004180.000000007</v>
      </c>
      <c r="K13" s="627">
        <f t="shared" si="6"/>
        <v>171000180</v>
      </c>
      <c r="L13" s="628">
        <v>400000</v>
      </c>
      <c r="M13" s="628"/>
      <c r="N13" s="627">
        <f t="shared" si="7"/>
        <v>171400180</v>
      </c>
      <c r="O13" s="629">
        <f t="shared" si="8"/>
        <v>171400180</v>
      </c>
      <c r="P13" s="630"/>
      <c r="Q13" s="630"/>
    </row>
    <row r="14" spans="1:17" s="28" customFormat="1" ht="19.899999999999999" customHeight="1" x14ac:dyDescent="0.3">
      <c r="A14" s="622">
        <v>6</v>
      </c>
      <c r="B14" s="623" t="s">
        <v>79</v>
      </c>
      <c r="C14" s="624">
        <v>3.33</v>
      </c>
      <c r="D14" s="625">
        <f t="shared" si="3"/>
        <v>0.1</v>
      </c>
      <c r="E14" s="626">
        <v>0</v>
      </c>
      <c r="F14" s="626">
        <v>0.1</v>
      </c>
      <c r="G14" s="626"/>
      <c r="H14" s="626"/>
      <c r="I14" s="627">
        <f t="shared" si="4"/>
        <v>96314400</v>
      </c>
      <c r="J14" s="627">
        <f t="shared" si="5"/>
        <v>21974004</v>
      </c>
      <c r="K14" s="627">
        <f t="shared" si="6"/>
        <v>118288404</v>
      </c>
      <c r="L14" s="628">
        <v>300000</v>
      </c>
      <c r="M14" s="628"/>
      <c r="N14" s="627">
        <f t="shared" si="7"/>
        <v>118588404</v>
      </c>
      <c r="O14" s="629">
        <f t="shared" si="8"/>
        <v>118588404</v>
      </c>
      <c r="P14" s="630"/>
      <c r="Q14" s="630"/>
    </row>
    <row r="15" spans="1:17" s="28" customFormat="1" ht="19.899999999999999" customHeight="1" x14ac:dyDescent="0.3">
      <c r="A15" s="622">
        <v>7</v>
      </c>
      <c r="B15" s="623" t="s">
        <v>80</v>
      </c>
      <c r="C15" s="624">
        <v>4.9800000000000004</v>
      </c>
      <c r="D15" s="625">
        <f t="shared" si="3"/>
        <v>0.3</v>
      </c>
      <c r="E15" s="626">
        <v>0.3</v>
      </c>
      <c r="F15" s="626"/>
      <c r="G15" s="626"/>
      <c r="H15" s="626"/>
      <c r="I15" s="627">
        <f t="shared" si="4"/>
        <v>148262400</v>
      </c>
      <c r="J15" s="627">
        <f t="shared" si="5"/>
        <v>34841664</v>
      </c>
      <c r="K15" s="627">
        <f t="shared" si="6"/>
        <v>183104064</v>
      </c>
      <c r="L15" s="628">
        <v>400000</v>
      </c>
      <c r="M15" s="628"/>
      <c r="N15" s="627">
        <f t="shared" si="7"/>
        <v>183504064</v>
      </c>
      <c r="O15" s="629">
        <f t="shared" si="8"/>
        <v>183504064</v>
      </c>
      <c r="P15" s="630"/>
      <c r="Q15" s="630"/>
    </row>
    <row r="16" spans="1:17" s="28" customFormat="1" ht="19.899999999999999" customHeight="1" x14ac:dyDescent="0.3">
      <c r="A16" s="622">
        <v>8</v>
      </c>
      <c r="B16" s="623" t="s">
        <v>81</v>
      </c>
      <c r="C16" s="624">
        <v>2.67</v>
      </c>
      <c r="D16" s="625">
        <f t="shared" si="3"/>
        <v>0</v>
      </c>
      <c r="E16" s="626">
        <v>0</v>
      </c>
      <c r="F16" s="626"/>
      <c r="G16" s="626"/>
      <c r="H16" s="626"/>
      <c r="I16" s="627">
        <f t="shared" si="4"/>
        <v>74973600</v>
      </c>
      <c r="J16" s="627">
        <f t="shared" si="5"/>
        <v>17618796</v>
      </c>
      <c r="K16" s="627">
        <f t="shared" si="6"/>
        <v>92592396</v>
      </c>
      <c r="L16" s="628"/>
      <c r="M16" s="628"/>
      <c r="N16" s="627">
        <f t="shared" si="7"/>
        <v>92592396</v>
      </c>
      <c r="O16" s="629">
        <f t="shared" si="8"/>
        <v>92592396</v>
      </c>
      <c r="P16" s="630"/>
      <c r="Q16" s="630"/>
    </row>
    <row r="17" spans="1:17" s="28" customFormat="1" ht="19.899999999999999" customHeight="1" x14ac:dyDescent="0.3">
      <c r="A17" s="622">
        <v>9</v>
      </c>
      <c r="B17" s="623" t="s">
        <v>82</v>
      </c>
      <c r="C17" s="624">
        <v>3.66</v>
      </c>
      <c r="D17" s="625">
        <f t="shared" si="3"/>
        <v>0.2</v>
      </c>
      <c r="E17" s="626">
        <v>0.2</v>
      </c>
      <c r="F17" s="626"/>
      <c r="G17" s="626"/>
      <c r="H17" s="626"/>
      <c r="I17" s="627">
        <f t="shared" si="4"/>
        <v>108388800</v>
      </c>
      <c r="J17" s="627">
        <f t="shared" si="5"/>
        <v>25471368</v>
      </c>
      <c r="K17" s="627">
        <f t="shared" si="6"/>
        <v>133860168</v>
      </c>
      <c r="L17" s="628">
        <v>300000</v>
      </c>
      <c r="M17" s="628"/>
      <c r="N17" s="627">
        <f t="shared" si="7"/>
        <v>134160168</v>
      </c>
      <c r="O17" s="629">
        <f t="shared" si="8"/>
        <v>134160168</v>
      </c>
      <c r="P17" s="630"/>
      <c r="Q17" s="630"/>
    </row>
    <row r="18" spans="1:17" s="28" customFormat="1" ht="19.899999999999999" customHeight="1" x14ac:dyDescent="0.3">
      <c r="A18" s="622">
        <v>10</v>
      </c>
      <c r="B18" s="623" t="s">
        <v>83</v>
      </c>
      <c r="C18" s="624">
        <v>3</v>
      </c>
      <c r="D18" s="625">
        <f t="shared" si="3"/>
        <v>0.2</v>
      </c>
      <c r="E18" s="626">
        <v>0.2</v>
      </c>
      <c r="F18" s="626"/>
      <c r="G18" s="626"/>
      <c r="H18" s="626"/>
      <c r="I18" s="627">
        <f t="shared" si="4"/>
        <v>89856000</v>
      </c>
      <c r="J18" s="627">
        <f t="shared" si="5"/>
        <v>21116160</v>
      </c>
      <c r="K18" s="627">
        <f t="shared" si="6"/>
        <v>110972160</v>
      </c>
      <c r="L18" s="628">
        <v>300000</v>
      </c>
      <c r="M18" s="628"/>
      <c r="N18" s="627">
        <f t="shared" si="7"/>
        <v>111272160</v>
      </c>
      <c r="O18" s="629">
        <f t="shared" si="8"/>
        <v>111272160</v>
      </c>
      <c r="P18" s="630"/>
      <c r="Q18" s="630"/>
    </row>
    <row r="19" spans="1:17" s="28" customFormat="1" ht="19.899999999999999" customHeight="1" x14ac:dyDescent="0.3">
      <c r="A19" s="622">
        <v>11</v>
      </c>
      <c r="B19" s="623" t="s">
        <v>84</v>
      </c>
      <c r="C19" s="624">
        <v>3.99</v>
      </c>
      <c r="D19" s="625">
        <f t="shared" si="3"/>
        <v>0</v>
      </c>
      <c r="E19" s="626"/>
      <c r="F19" s="626"/>
      <c r="G19" s="626"/>
      <c r="H19" s="626"/>
      <c r="I19" s="627">
        <f t="shared" si="4"/>
        <v>112039200</v>
      </c>
      <c r="J19" s="627">
        <f t="shared" si="5"/>
        <v>26329212</v>
      </c>
      <c r="K19" s="627">
        <f t="shared" si="6"/>
        <v>138368412</v>
      </c>
      <c r="L19" s="628"/>
      <c r="M19" s="628"/>
      <c r="N19" s="627">
        <f t="shared" si="7"/>
        <v>138368412</v>
      </c>
      <c r="O19" s="629">
        <f t="shared" si="8"/>
        <v>138368412</v>
      </c>
      <c r="P19" s="630"/>
      <c r="Q19" s="630"/>
    </row>
    <row r="20" spans="1:17" s="28" customFormat="1" ht="19.899999999999999" customHeight="1" x14ac:dyDescent="0.3">
      <c r="A20" s="622">
        <v>12</v>
      </c>
      <c r="B20" s="623" t="s">
        <v>85</v>
      </c>
      <c r="C20" s="624">
        <v>3.33</v>
      </c>
      <c r="D20" s="625">
        <f t="shared" si="3"/>
        <v>0</v>
      </c>
      <c r="E20" s="626"/>
      <c r="F20" s="626"/>
      <c r="G20" s="626"/>
      <c r="H20" s="626"/>
      <c r="I20" s="627">
        <f t="shared" si="4"/>
        <v>93506400</v>
      </c>
      <c r="J20" s="627">
        <f t="shared" si="5"/>
        <v>21974004</v>
      </c>
      <c r="K20" s="627">
        <f t="shared" si="6"/>
        <v>115480404</v>
      </c>
      <c r="L20" s="628"/>
      <c r="M20" s="628"/>
      <c r="N20" s="627">
        <f t="shared" si="7"/>
        <v>115480404</v>
      </c>
      <c r="O20" s="629">
        <f t="shared" si="8"/>
        <v>115480404</v>
      </c>
      <c r="P20" s="630"/>
      <c r="Q20" s="630"/>
    </row>
    <row r="21" spans="1:17" s="28" customFormat="1" ht="19.899999999999999" customHeight="1" x14ac:dyDescent="0.3">
      <c r="A21" s="622">
        <v>13</v>
      </c>
      <c r="B21" s="623" t="s">
        <v>86</v>
      </c>
      <c r="C21" s="624">
        <v>3.99</v>
      </c>
      <c r="D21" s="625">
        <f t="shared" si="3"/>
        <v>0.3</v>
      </c>
      <c r="E21" s="626">
        <v>0.3</v>
      </c>
      <c r="F21" s="626"/>
      <c r="G21" s="626"/>
      <c r="H21" s="626"/>
      <c r="I21" s="627">
        <f t="shared" si="4"/>
        <v>120463200</v>
      </c>
      <c r="J21" s="627">
        <f t="shared" si="5"/>
        <v>28308852</v>
      </c>
      <c r="K21" s="627">
        <f t="shared" si="6"/>
        <v>148772052</v>
      </c>
      <c r="L21" s="628">
        <v>400000</v>
      </c>
      <c r="M21" s="628"/>
      <c r="N21" s="627">
        <f t="shared" si="7"/>
        <v>149172052</v>
      </c>
      <c r="O21" s="629">
        <f t="shared" si="8"/>
        <v>149172052</v>
      </c>
      <c r="P21" s="630"/>
      <c r="Q21" s="630"/>
    </row>
    <row r="22" spans="1:17" s="28" customFormat="1" ht="19.899999999999999" customHeight="1" x14ac:dyDescent="0.3">
      <c r="A22" s="622">
        <v>14</v>
      </c>
      <c r="B22" s="623" t="s">
        <v>87</v>
      </c>
      <c r="C22" s="624">
        <v>2.67</v>
      </c>
      <c r="D22" s="625">
        <f>+E22+F22+G22+H22</f>
        <v>0</v>
      </c>
      <c r="E22" s="626">
        <v>0</v>
      </c>
      <c r="F22" s="626"/>
      <c r="G22" s="626">
        <v>0</v>
      </c>
      <c r="H22" s="626"/>
      <c r="I22" s="627">
        <f t="shared" si="4"/>
        <v>74973600</v>
      </c>
      <c r="J22" s="627">
        <f t="shared" si="5"/>
        <v>17618796</v>
      </c>
      <c r="K22" s="627">
        <f t="shared" si="6"/>
        <v>92592396</v>
      </c>
      <c r="L22" s="628"/>
      <c r="M22" s="628">
        <v>250000</v>
      </c>
      <c r="N22" s="627">
        <f t="shared" si="7"/>
        <v>92842396</v>
      </c>
      <c r="O22" s="629">
        <f t="shared" si="8"/>
        <v>92842396</v>
      </c>
      <c r="P22" s="630"/>
      <c r="Q22" s="630"/>
    </row>
    <row r="23" spans="1:17" s="28" customFormat="1" ht="19.899999999999999" customHeight="1" x14ac:dyDescent="0.3">
      <c r="A23" s="622">
        <v>15</v>
      </c>
      <c r="B23" s="623" t="s">
        <v>88</v>
      </c>
      <c r="C23" s="624">
        <v>3.66</v>
      </c>
      <c r="D23" s="625">
        <f t="shared" si="3"/>
        <v>0.2</v>
      </c>
      <c r="E23" s="626">
        <v>0.2</v>
      </c>
      <c r="F23" s="626"/>
      <c r="G23" s="626">
        <v>0</v>
      </c>
      <c r="H23" s="626"/>
      <c r="I23" s="627">
        <f t="shared" si="4"/>
        <v>108388800</v>
      </c>
      <c r="J23" s="627">
        <f t="shared" si="5"/>
        <v>25471368</v>
      </c>
      <c r="K23" s="627">
        <f t="shared" si="6"/>
        <v>133860168</v>
      </c>
      <c r="L23" s="628">
        <v>300000</v>
      </c>
      <c r="M23" s="628">
        <v>250000</v>
      </c>
      <c r="N23" s="627">
        <f t="shared" si="7"/>
        <v>134410168</v>
      </c>
      <c r="O23" s="629">
        <f t="shared" si="8"/>
        <v>134410168</v>
      </c>
      <c r="P23" s="630"/>
      <c r="Q23" s="630"/>
    </row>
    <row r="24" spans="1:17" s="28" customFormat="1" ht="19.899999999999999" customHeight="1" x14ac:dyDescent="0.3">
      <c r="A24" s="622">
        <v>16</v>
      </c>
      <c r="B24" s="623" t="s">
        <v>89</v>
      </c>
      <c r="C24" s="624">
        <v>3.66</v>
      </c>
      <c r="D24" s="625">
        <f t="shared" si="3"/>
        <v>0</v>
      </c>
      <c r="E24" s="626">
        <v>0</v>
      </c>
      <c r="F24" s="626"/>
      <c r="G24" s="626">
        <v>0</v>
      </c>
      <c r="H24" s="626"/>
      <c r="I24" s="627">
        <f t="shared" si="4"/>
        <v>102772800</v>
      </c>
      <c r="J24" s="627">
        <f t="shared" si="5"/>
        <v>24151608</v>
      </c>
      <c r="K24" s="627">
        <f t="shared" si="6"/>
        <v>126924408</v>
      </c>
      <c r="L24" s="628">
        <v>400000</v>
      </c>
      <c r="M24" s="628"/>
      <c r="N24" s="627">
        <f t="shared" si="7"/>
        <v>127324408</v>
      </c>
      <c r="O24" s="629">
        <f t="shared" si="8"/>
        <v>127324408</v>
      </c>
      <c r="P24" s="630"/>
      <c r="Q24" s="630"/>
    </row>
    <row r="25" spans="1:17" s="28" customFormat="1" ht="19.899999999999999" customHeight="1" x14ac:dyDescent="0.3">
      <c r="A25" s="622">
        <v>17</v>
      </c>
      <c r="B25" s="623" t="s">
        <v>90</v>
      </c>
      <c r="C25" s="631">
        <v>4.9800000000000004</v>
      </c>
      <c r="D25" s="632">
        <f>+E25+F25+G25+H25</f>
        <v>0.54899999999999993</v>
      </c>
      <c r="E25" s="626">
        <v>0.3</v>
      </c>
      <c r="F25" s="626"/>
      <c r="G25" s="626"/>
      <c r="H25" s="633">
        <v>0.249</v>
      </c>
      <c r="I25" s="627">
        <f t="shared" si="4"/>
        <v>155254320</v>
      </c>
      <c r="J25" s="627">
        <f t="shared" si="5"/>
        <v>36484765.199999996</v>
      </c>
      <c r="K25" s="627">
        <f t="shared" si="6"/>
        <v>191739085.19999999</v>
      </c>
      <c r="L25" s="628">
        <v>400000</v>
      </c>
      <c r="M25" s="628"/>
      <c r="N25" s="627">
        <f t="shared" si="7"/>
        <v>192139085.19999999</v>
      </c>
      <c r="O25" s="629">
        <f t="shared" si="8"/>
        <v>192139085.19999999</v>
      </c>
      <c r="P25" s="630"/>
      <c r="Q25" s="630"/>
    </row>
    <row r="26" spans="1:17" s="28" customFormat="1" ht="31.5" customHeight="1" x14ac:dyDescent="0.3">
      <c r="A26" s="622">
        <v>18</v>
      </c>
      <c r="B26" s="623" t="s">
        <v>91</v>
      </c>
      <c r="C26" s="624">
        <v>3.33</v>
      </c>
      <c r="D26" s="625">
        <f t="shared" si="3"/>
        <v>0.4</v>
      </c>
      <c r="E26" s="626">
        <v>0.2</v>
      </c>
      <c r="F26" s="626"/>
      <c r="G26" s="626">
        <v>0.2</v>
      </c>
      <c r="H26" s="626"/>
      <c r="I26" s="627">
        <f t="shared" si="4"/>
        <v>104738400</v>
      </c>
      <c r="J26" s="627">
        <f t="shared" si="5"/>
        <v>23293764</v>
      </c>
      <c r="K26" s="627">
        <f t="shared" si="6"/>
        <v>128032164</v>
      </c>
      <c r="L26" s="628">
        <v>400000</v>
      </c>
      <c r="M26" s="628"/>
      <c r="N26" s="627">
        <f t="shared" si="7"/>
        <v>128432164</v>
      </c>
      <c r="O26" s="629">
        <f t="shared" si="8"/>
        <v>128432164</v>
      </c>
      <c r="P26" s="630"/>
      <c r="Q26" s="630"/>
    </row>
    <row r="27" spans="1:17" s="28" customFormat="1" ht="19.899999999999999" customHeight="1" x14ac:dyDescent="0.3">
      <c r="A27" s="622">
        <v>19</v>
      </c>
      <c r="B27" s="623" t="s">
        <v>92</v>
      </c>
      <c r="C27" s="624">
        <v>3.33</v>
      </c>
      <c r="D27" s="625">
        <f t="shared" si="3"/>
        <v>0</v>
      </c>
      <c r="E27" s="626">
        <v>0</v>
      </c>
      <c r="F27" s="626"/>
      <c r="G27" s="626"/>
      <c r="H27" s="626"/>
      <c r="I27" s="627">
        <f t="shared" si="4"/>
        <v>93506400</v>
      </c>
      <c r="J27" s="627">
        <f t="shared" si="5"/>
        <v>21974004</v>
      </c>
      <c r="K27" s="627">
        <f t="shared" si="6"/>
        <v>115480404</v>
      </c>
      <c r="L27" s="628">
        <v>400000</v>
      </c>
      <c r="M27" s="628"/>
      <c r="N27" s="627">
        <f t="shared" si="7"/>
        <v>115880404</v>
      </c>
      <c r="O27" s="629">
        <f t="shared" si="8"/>
        <v>115880404</v>
      </c>
      <c r="P27" s="630"/>
      <c r="Q27" s="630"/>
    </row>
    <row r="28" spans="1:17" s="28" customFormat="1" ht="19.899999999999999" customHeight="1" x14ac:dyDescent="0.3">
      <c r="A28" s="622">
        <v>20</v>
      </c>
      <c r="B28" s="623" t="s">
        <v>93</v>
      </c>
      <c r="C28" s="624">
        <v>3.66</v>
      </c>
      <c r="D28" s="625">
        <f t="shared" si="3"/>
        <v>0</v>
      </c>
      <c r="E28" s="626">
        <v>0</v>
      </c>
      <c r="F28" s="626"/>
      <c r="G28" s="626"/>
      <c r="H28" s="626"/>
      <c r="I28" s="627">
        <f t="shared" si="4"/>
        <v>102772800</v>
      </c>
      <c r="J28" s="627">
        <f t="shared" si="5"/>
        <v>24151608</v>
      </c>
      <c r="K28" s="627">
        <f t="shared" si="6"/>
        <v>126924408</v>
      </c>
      <c r="L28" s="628"/>
      <c r="M28" s="628"/>
      <c r="N28" s="627">
        <f t="shared" si="7"/>
        <v>126924408</v>
      </c>
      <c r="O28" s="629">
        <f t="shared" si="8"/>
        <v>126924408</v>
      </c>
      <c r="P28" s="630"/>
      <c r="Q28" s="630"/>
    </row>
    <row r="29" spans="1:17" s="28" customFormat="1" ht="31.5" customHeight="1" x14ac:dyDescent="0.3">
      <c r="A29" s="622">
        <v>21</v>
      </c>
      <c r="B29" s="623" t="s">
        <v>94</v>
      </c>
      <c r="C29" s="624">
        <v>4.32</v>
      </c>
      <c r="D29" s="625">
        <f t="shared" si="3"/>
        <v>0.3</v>
      </c>
      <c r="E29" s="626">
        <v>0.3</v>
      </c>
      <c r="F29" s="626"/>
      <c r="G29" s="626"/>
      <c r="H29" s="626"/>
      <c r="I29" s="627">
        <f t="shared" si="4"/>
        <v>129729600</v>
      </c>
      <c r="J29" s="627">
        <f t="shared" si="5"/>
        <v>30486456</v>
      </c>
      <c r="K29" s="627">
        <f t="shared" si="6"/>
        <v>160216056</v>
      </c>
      <c r="L29" s="628">
        <v>400000</v>
      </c>
      <c r="M29" s="628"/>
      <c r="N29" s="627">
        <f t="shared" si="7"/>
        <v>160616056</v>
      </c>
      <c r="O29" s="629">
        <f t="shared" si="8"/>
        <v>160616056</v>
      </c>
      <c r="P29" s="630"/>
      <c r="Q29" s="630"/>
    </row>
    <row r="30" spans="1:17" s="28" customFormat="1" ht="31.5" customHeight="1" x14ac:dyDescent="0.3">
      <c r="A30" s="622">
        <v>22</v>
      </c>
      <c r="B30" s="623" t="s">
        <v>95</v>
      </c>
      <c r="C30" s="624">
        <v>3.33</v>
      </c>
      <c r="D30" s="625">
        <f t="shared" si="3"/>
        <v>0</v>
      </c>
      <c r="E30" s="626">
        <v>0</v>
      </c>
      <c r="F30" s="626"/>
      <c r="G30" s="626"/>
      <c r="H30" s="626"/>
      <c r="I30" s="627">
        <f t="shared" si="4"/>
        <v>93506400</v>
      </c>
      <c r="J30" s="627">
        <f t="shared" si="5"/>
        <v>21974004</v>
      </c>
      <c r="K30" s="627">
        <f t="shared" si="6"/>
        <v>115480404</v>
      </c>
      <c r="L30" s="628"/>
      <c r="M30" s="628"/>
      <c r="N30" s="627">
        <f t="shared" si="7"/>
        <v>115480404</v>
      </c>
      <c r="O30" s="629">
        <f t="shared" si="8"/>
        <v>115480404</v>
      </c>
      <c r="P30" s="630"/>
      <c r="Q30" s="630"/>
    </row>
    <row r="31" spans="1:17" s="28" customFormat="1" ht="19.899999999999999" customHeight="1" x14ac:dyDescent="0.3">
      <c r="A31" s="622">
        <v>23</v>
      </c>
      <c r="B31" s="623" t="s">
        <v>96</v>
      </c>
      <c r="C31" s="624">
        <v>3.66</v>
      </c>
      <c r="D31" s="625">
        <f>+E31+F31+G31+H31</f>
        <v>0</v>
      </c>
      <c r="E31" s="626">
        <v>0</v>
      </c>
      <c r="F31" s="626"/>
      <c r="G31" s="626"/>
      <c r="H31" s="626"/>
      <c r="I31" s="627">
        <f t="shared" si="4"/>
        <v>102772800</v>
      </c>
      <c r="J31" s="627">
        <f t="shared" si="5"/>
        <v>24151608</v>
      </c>
      <c r="K31" s="627">
        <f t="shared" si="6"/>
        <v>126924408</v>
      </c>
      <c r="L31" s="628"/>
      <c r="M31" s="628">
        <v>250000</v>
      </c>
      <c r="N31" s="627">
        <f t="shared" si="7"/>
        <v>127174408</v>
      </c>
      <c r="O31" s="629">
        <f t="shared" si="8"/>
        <v>127174408</v>
      </c>
      <c r="P31" s="630"/>
      <c r="Q31" s="630"/>
    </row>
    <row r="32" spans="1:17" s="28" customFormat="1" ht="19.899999999999999" customHeight="1" x14ac:dyDescent="0.3">
      <c r="A32" s="622">
        <v>24</v>
      </c>
      <c r="B32" s="623" t="s">
        <v>97</v>
      </c>
      <c r="C32" s="624">
        <v>3.66</v>
      </c>
      <c r="D32" s="625">
        <f t="shared" si="3"/>
        <v>0.2</v>
      </c>
      <c r="E32" s="626">
        <v>0.2</v>
      </c>
      <c r="F32" s="626"/>
      <c r="G32" s="626"/>
      <c r="H32" s="626"/>
      <c r="I32" s="627">
        <f t="shared" si="4"/>
        <v>108388800</v>
      </c>
      <c r="J32" s="627">
        <f t="shared" si="5"/>
        <v>25471368</v>
      </c>
      <c r="K32" s="627">
        <f t="shared" si="6"/>
        <v>133860168</v>
      </c>
      <c r="L32" s="628">
        <v>300000</v>
      </c>
      <c r="M32" s="628"/>
      <c r="N32" s="627">
        <f t="shared" si="7"/>
        <v>134160168</v>
      </c>
      <c r="O32" s="629">
        <f t="shared" si="8"/>
        <v>134160168</v>
      </c>
      <c r="P32" s="630"/>
      <c r="Q32" s="630"/>
    </row>
    <row r="33" spans="1:17" s="28" customFormat="1" ht="19.899999999999999" customHeight="1" x14ac:dyDescent="0.3">
      <c r="A33" s="622">
        <v>25</v>
      </c>
      <c r="B33" s="623" t="s">
        <v>98</v>
      </c>
      <c r="C33" s="624">
        <v>3</v>
      </c>
      <c r="D33" s="625">
        <f t="shared" si="3"/>
        <v>0</v>
      </c>
      <c r="E33" s="626">
        <v>0</v>
      </c>
      <c r="F33" s="626"/>
      <c r="G33" s="626"/>
      <c r="H33" s="626"/>
      <c r="I33" s="627">
        <f t="shared" si="4"/>
        <v>84240000</v>
      </c>
      <c r="J33" s="627">
        <f t="shared" si="5"/>
        <v>19796400</v>
      </c>
      <c r="K33" s="627">
        <f t="shared" si="6"/>
        <v>104036400</v>
      </c>
      <c r="L33" s="628"/>
      <c r="M33" s="628"/>
      <c r="N33" s="627">
        <f t="shared" si="7"/>
        <v>104036400</v>
      </c>
      <c r="O33" s="629">
        <f t="shared" si="8"/>
        <v>104036400</v>
      </c>
      <c r="P33" s="630"/>
      <c r="Q33" s="630"/>
    </row>
    <row r="34" spans="1:17" s="28" customFormat="1" ht="19.899999999999999" customHeight="1" x14ac:dyDescent="0.3">
      <c r="A34" s="622">
        <v>26</v>
      </c>
      <c r="B34" s="623" t="s">
        <v>99</v>
      </c>
      <c r="C34" s="624">
        <v>3.33</v>
      </c>
      <c r="D34" s="625">
        <f t="shared" si="3"/>
        <v>0</v>
      </c>
      <c r="E34" s="626">
        <v>0</v>
      </c>
      <c r="F34" s="626"/>
      <c r="G34" s="626"/>
      <c r="H34" s="626"/>
      <c r="I34" s="627">
        <f t="shared" si="4"/>
        <v>93506400</v>
      </c>
      <c r="J34" s="627">
        <f t="shared" si="5"/>
        <v>21974004</v>
      </c>
      <c r="K34" s="627">
        <f t="shared" si="6"/>
        <v>115480404</v>
      </c>
      <c r="L34" s="628"/>
      <c r="M34" s="628"/>
      <c r="N34" s="627">
        <f t="shared" si="7"/>
        <v>115480404</v>
      </c>
      <c r="O34" s="629">
        <f t="shared" si="8"/>
        <v>115480404</v>
      </c>
      <c r="P34" s="630"/>
      <c r="Q34" s="630"/>
    </row>
    <row r="35" spans="1:17" s="28" customFormat="1" ht="19.899999999999999" customHeight="1" x14ac:dyDescent="0.3">
      <c r="A35" s="622">
        <v>27</v>
      </c>
      <c r="B35" s="623" t="s">
        <v>100</v>
      </c>
      <c r="C35" s="624">
        <v>3</v>
      </c>
      <c r="D35" s="625">
        <f t="shared" si="3"/>
        <v>0</v>
      </c>
      <c r="E35" s="626">
        <v>0</v>
      </c>
      <c r="F35" s="626"/>
      <c r="G35" s="626"/>
      <c r="H35" s="626"/>
      <c r="I35" s="627">
        <f t="shared" si="4"/>
        <v>84240000</v>
      </c>
      <c r="J35" s="627">
        <f t="shared" si="5"/>
        <v>19796400</v>
      </c>
      <c r="K35" s="627">
        <f t="shared" si="6"/>
        <v>104036400</v>
      </c>
      <c r="L35" s="628"/>
      <c r="M35" s="628"/>
      <c r="N35" s="627">
        <f t="shared" si="7"/>
        <v>104036400</v>
      </c>
      <c r="O35" s="629">
        <f t="shared" si="8"/>
        <v>104036400</v>
      </c>
      <c r="P35" s="630"/>
      <c r="Q35" s="630"/>
    </row>
    <row r="36" spans="1:17" s="28" customFormat="1" ht="30.75" customHeight="1" x14ac:dyDescent="0.3">
      <c r="A36" s="622">
        <v>28</v>
      </c>
      <c r="B36" s="623" t="s">
        <v>101</v>
      </c>
      <c r="C36" s="624">
        <v>2.67</v>
      </c>
      <c r="D36" s="625">
        <f t="shared" si="3"/>
        <v>0</v>
      </c>
      <c r="E36" s="626">
        <v>0</v>
      </c>
      <c r="F36" s="626"/>
      <c r="G36" s="626"/>
      <c r="H36" s="626"/>
      <c r="I36" s="627">
        <f t="shared" si="4"/>
        <v>74973600</v>
      </c>
      <c r="J36" s="627">
        <f t="shared" si="5"/>
        <v>17618796</v>
      </c>
      <c r="K36" s="627">
        <f t="shared" si="6"/>
        <v>92592396</v>
      </c>
      <c r="L36" s="628"/>
      <c r="M36" s="628"/>
      <c r="N36" s="627">
        <f t="shared" si="7"/>
        <v>92592396</v>
      </c>
      <c r="O36" s="629">
        <f t="shared" si="8"/>
        <v>92592396</v>
      </c>
      <c r="P36" s="630"/>
      <c r="Q36" s="630"/>
    </row>
    <row r="37" spans="1:17" s="28" customFormat="1" ht="19.899999999999999" customHeight="1" x14ac:dyDescent="0.3">
      <c r="A37" s="622">
        <v>29</v>
      </c>
      <c r="B37" s="623" t="s">
        <v>102</v>
      </c>
      <c r="C37" s="624">
        <v>3</v>
      </c>
      <c r="D37" s="625">
        <f t="shared" si="3"/>
        <v>0</v>
      </c>
      <c r="E37" s="626">
        <v>0</v>
      </c>
      <c r="F37" s="626"/>
      <c r="G37" s="626"/>
      <c r="H37" s="626"/>
      <c r="I37" s="627">
        <f t="shared" si="4"/>
        <v>84240000</v>
      </c>
      <c r="J37" s="627">
        <f t="shared" si="5"/>
        <v>19796400</v>
      </c>
      <c r="K37" s="627">
        <f t="shared" si="6"/>
        <v>104036400</v>
      </c>
      <c r="L37" s="628"/>
      <c r="M37" s="628"/>
      <c r="N37" s="627">
        <f t="shared" si="7"/>
        <v>104036400</v>
      </c>
      <c r="O37" s="629">
        <f t="shared" si="8"/>
        <v>104036400</v>
      </c>
      <c r="P37" s="630"/>
      <c r="Q37" s="630"/>
    </row>
    <row r="38" spans="1:17" s="28" customFormat="1" ht="19.899999999999999" customHeight="1" x14ac:dyDescent="0.3">
      <c r="A38" s="622">
        <v>30</v>
      </c>
      <c r="B38" s="623" t="s">
        <v>103</v>
      </c>
      <c r="C38" s="624">
        <v>4.6500000000000004</v>
      </c>
      <c r="D38" s="625">
        <f t="shared" si="3"/>
        <v>0.3</v>
      </c>
      <c r="E38" s="626">
        <v>0.3</v>
      </c>
      <c r="F38" s="626"/>
      <c r="G38" s="626"/>
      <c r="H38" s="626"/>
      <c r="I38" s="627">
        <f t="shared" si="4"/>
        <v>138996000</v>
      </c>
      <c r="J38" s="627">
        <f t="shared" si="5"/>
        <v>32664060</v>
      </c>
      <c r="K38" s="627">
        <f t="shared" si="6"/>
        <v>171660060</v>
      </c>
      <c r="L38" s="628">
        <v>400000</v>
      </c>
      <c r="M38" s="628"/>
      <c r="N38" s="627">
        <f t="shared" si="7"/>
        <v>172060060</v>
      </c>
      <c r="O38" s="629">
        <f t="shared" si="8"/>
        <v>172060060</v>
      </c>
      <c r="P38" s="630"/>
      <c r="Q38" s="630"/>
    </row>
    <row r="39" spans="1:17" s="28" customFormat="1" ht="19.899999999999999" customHeight="1" x14ac:dyDescent="0.3">
      <c r="A39" s="622">
        <v>31</v>
      </c>
      <c r="B39" s="623" t="s">
        <v>104</v>
      </c>
      <c r="C39" s="624">
        <v>3.99</v>
      </c>
      <c r="D39" s="625">
        <f t="shared" si="3"/>
        <v>0.3</v>
      </c>
      <c r="E39" s="626">
        <v>0.3</v>
      </c>
      <c r="F39" s="626"/>
      <c r="G39" s="626"/>
      <c r="H39" s="626"/>
      <c r="I39" s="627">
        <f t="shared" si="4"/>
        <v>120463200</v>
      </c>
      <c r="J39" s="627">
        <f t="shared" si="5"/>
        <v>28308852</v>
      </c>
      <c r="K39" s="627">
        <f t="shared" si="6"/>
        <v>148772052</v>
      </c>
      <c r="L39" s="628">
        <v>300000</v>
      </c>
      <c r="M39" s="628"/>
      <c r="N39" s="627">
        <f t="shared" si="7"/>
        <v>149072052</v>
      </c>
      <c r="O39" s="629">
        <f t="shared" si="8"/>
        <v>149072052</v>
      </c>
      <c r="P39" s="630"/>
      <c r="Q39" s="630"/>
    </row>
    <row r="40" spans="1:17" s="28" customFormat="1" ht="19.899999999999999" customHeight="1" x14ac:dyDescent="0.3">
      <c r="A40" s="622">
        <v>32</v>
      </c>
      <c r="B40" s="623" t="s">
        <v>105</v>
      </c>
      <c r="C40" s="624">
        <v>4.32</v>
      </c>
      <c r="D40" s="625">
        <f>+E40+F40+G40+H40</f>
        <v>0.3</v>
      </c>
      <c r="E40" s="626">
        <v>0.3</v>
      </c>
      <c r="F40" s="626"/>
      <c r="G40" s="626"/>
      <c r="H40" s="626"/>
      <c r="I40" s="627">
        <f t="shared" si="4"/>
        <v>129729600</v>
      </c>
      <c r="J40" s="627">
        <f t="shared" si="5"/>
        <v>30486456</v>
      </c>
      <c r="K40" s="627">
        <f t="shared" si="6"/>
        <v>160216056</v>
      </c>
      <c r="L40" s="628">
        <v>400000</v>
      </c>
      <c r="M40" s="628"/>
      <c r="N40" s="627">
        <f t="shared" si="7"/>
        <v>160616056</v>
      </c>
      <c r="O40" s="629">
        <f t="shared" si="8"/>
        <v>160616056</v>
      </c>
      <c r="P40" s="630"/>
      <c r="Q40" s="630"/>
    </row>
    <row r="41" spans="1:17" s="28" customFormat="1" ht="35.25" customHeight="1" x14ac:dyDescent="0.3">
      <c r="A41" s="622">
        <v>33</v>
      </c>
      <c r="B41" s="623" t="s">
        <v>106</v>
      </c>
      <c r="C41" s="624">
        <v>3.99</v>
      </c>
      <c r="D41" s="625">
        <f t="shared" si="3"/>
        <v>0</v>
      </c>
      <c r="E41" s="626">
        <v>0</v>
      </c>
      <c r="F41" s="626"/>
      <c r="G41" s="626"/>
      <c r="H41" s="626"/>
      <c r="I41" s="627">
        <f t="shared" si="4"/>
        <v>112039200</v>
      </c>
      <c r="J41" s="627">
        <f t="shared" si="5"/>
        <v>26329212</v>
      </c>
      <c r="K41" s="627">
        <f t="shared" si="6"/>
        <v>138368412</v>
      </c>
      <c r="L41" s="628"/>
      <c r="M41" s="628"/>
      <c r="N41" s="627">
        <f t="shared" si="7"/>
        <v>138368412</v>
      </c>
      <c r="O41" s="629">
        <f t="shared" si="8"/>
        <v>138368412</v>
      </c>
      <c r="P41" s="630"/>
      <c r="Q41" s="630"/>
    </row>
    <row r="42" spans="1:17" s="28" customFormat="1" ht="19.899999999999999" customHeight="1" x14ac:dyDescent="0.3">
      <c r="A42" s="622">
        <v>34</v>
      </c>
      <c r="B42" s="623" t="s">
        <v>107</v>
      </c>
      <c r="C42" s="624">
        <v>3.66</v>
      </c>
      <c r="D42" s="625">
        <f t="shared" si="3"/>
        <v>0</v>
      </c>
      <c r="E42" s="626">
        <v>0</v>
      </c>
      <c r="F42" s="626"/>
      <c r="G42" s="626"/>
      <c r="H42" s="626"/>
      <c r="I42" s="627">
        <f t="shared" si="4"/>
        <v>102772800</v>
      </c>
      <c r="J42" s="627">
        <f t="shared" si="5"/>
        <v>24151608</v>
      </c>
      <c r="K42" s="627">
        <f t="shared" si="6"/>
        <v>126924408</v>
      </c>
      <c r="L42" s="628"/>
      <c r="M42" s="628"/>
      <c r="N42" s="627">
        <f t="shared" si="7"/>
        <v>126924408</v>
      </c>
      <c r="O42" s="629">
        <f t="shared" si="8"/>
        <v>126924408</v>
      </c>
      <c r="P42" s="630"/>
      <c r="Q42" s="630"/>
    </row>
    <row r="43" spans="1:17" s="28" customFormat="1" ht="19.899999999999999" customHeight="1" x14ac:dyDescent="0.3">
      <c r="A43" s="622">
        <v>35</v>
      </c>
      <c r="B43" s="623" t="s">
        <v>108</v>
      </c>
      <c r="C43" s="624">
        <v>3.99</v>
      </c>
      <c r="D43" s="625">
        <f t="shared" si="3"/>
        <v>0.3</v>
      </c>
      <c r="E43" s="626">
        <v>0.3</v>
      </c>
      <c r="F43" s="626"/>
      <c r="G43" s="626"/>
      <c r="H43" s="626"/>
      <c r="I43" s="627">
        <f t="shared" si="4"/>
        <v>120463200</v>
      </c>
      <c r="J43" s="627">
        <f t="shared" si="5"/>
        <v>28308852</v>
      </c>
      <c r="K43" s="627">
        <f t="shared" si="6"/>
        <v>148772052</v>
      </c>
      <c r="L43" s="628">
        <v>400000</v>
      </c>
      <c r="M43" s="628"/>
      <c r="N43" s="627">
        <f t="shared" si="7"/>
        <v>149172052</v>
      </c>
      <c r="O43" s="629">
        <f t="shared" si="8"/>
        <v>149172052</v>
      </c>
      <c r="P43" s="630"/>
      <c r="Q43" s="630"/>
    </row>
    <row r="44" spans="1:17" s="28" customFormat="1" ht="19.899999999999999" customHeight="1" x14ac:dyDescent="0.3">
      <c r="A44" s="622">
        <v>36</v>
      </c>
      <c r="B44" s="623" t="s">
        <v>109</v>
      </c>
      <c r="C44" s="624">
        <v>3.66</v>
      </c>
      <c r="D44" s="625">
        <f t="shared" si="3"/>
        <v>0.2</v>
      </c>
      <c r="E44" s="626">
        <v>0.2</v>
      </c>
      <c r="F44" s="626"/>
      <c r="G44" s="626"/>
      <c r="H44" s="626"/>
      <c r="I44" s="627">
        <f t="shared" si="4"/>
        <v>108388800</v>
      </c>
      <c r="J44" s="627">
        <f t="shared" si="5"/>
        <v>25471368</v>
      </c>
      <c r="K44" s="627">
        <f t="shared" si="6"/>
        <v>133860168</v>
      </c>
      <c r="L44" s="628">
        <v>300000</v>
      </c>
      <c r="M44" s="628"/>
      <c r="N44" s="627">
        <f t="shared" si="7"/>
        <v>134160168</v>
      </c>
      <c r="O44" s="629">
        <f t="shared" si="8"/>
        <v>134160168</v>
      </c>
      <c r="P44" s="630"/>
      <c r="Q44" s="630"/>
    </row>
    <row r="45" spans="1:17" s="28" customFormat="1" ht="19.899999999999999" customHeight="1" x14ac:dyDescent="0.3">
      <c r="A45" s="622">
        <v>37</v>
      </c>
      <c r="B45" s="623" t="s">
        <v>110</v>
      </c>
      <c r="C45" s="624">
        <v>3.66</v>
      </c>
      <c r="D45" s="625">
        <f t="shared" si="3"/>
        <v>0</v>
      </c>
      <c r="E45" s="626">
        <v>0</v>
      </c>
      <c r="F45" s="626"/>
      <c r="G45" s="626"/>
      <c r="H45" s="626"/>
      <c r="I45" s="627">
        <f t="shared" si="4"/>
        <v>102772800</v>
      </c>
      <c r="J45" s="627">
        <f t="shared" si="5"/>
        <v>24151608</v>
      </c>
      <c r="K45" s="627">
        <f t="shared" si="6"/>
        <v>126924408</v>
      </c>
      <c r="L45" s="628"/>
      <c r="M45" s="628"/>
      <c r="N45" s="627">
        <f t="shared" si="7"/>
        <v>126924408</v>
      </c>
      <c r="O45" s="629">
        <f t="shared" si="8"/>
        <v>126924408</v>
      </c>
      <c r="P45" s="630"/>
      <c r="Q45" s="630"/>
    </row>
    <row r="46" spans="1:17" s="28" customFormat="1" ht="19.899999999999999" customHeight="1" x14ac:dyDescent="0.3">
      <c r="A46" s="622">
        <v>38</v>
      </c>
      <c r="B46" s="623" t="s">
        <v>997</v>
      </c>
      <c r="C46" s="624">
        <v>3</v>
      </c>
      <c r="D46" s="625">
        <f t="shared" si="3"/>
        <v>0</v>
      </c>
      <c r="E46" s="626"/>
      <c r="F46" s="626"/>
      <c r="G46" s="626"/>
      <c r="H46" s="626"/>
      <c r="I46" s="627">
        <f t="shared" si="4"/>
        <v>84240000</v>
      </c>
      <c r="J46" s="627">
        <f t="shared" si="5"/>
        <v>19796400</v>
      </c>
      <c r="K46" s="627">
        <f>J46+I46</f>
        <v>104036400</v>
      </c>
      <c r="L46" s="628"/>
      <c r="M46" s="628"/>
      <c r="N46" s="627">
        <f t="shared" si="7"/>
        <v>104036400</v>
      </c>
      <c r="O46" s="629">
        <f t="shared" si="8"/>
        <v>104036400</v>
      </c>
      <c r="P46" s="630"/>
      <c r="Q46" s="630"/>
    </row>
    <row r="47" spans="1:17" s="28" customFormat="1" ht="19.899999999999999" customHeight="1" x14ac:dyDescent="0.3">
      <c r="A47" s="622">
        <v>39</v>
      </c>
      <c r="B47" s="623" t="s">
        <v>111</v>
      </c>
      <c r="C47" s="624">
        <v>4.32</v>
      </c>
      <c r="D47" s="625">
        <f>SUM(E47:H47)</f>
        <v>0.4</v>
      </c>
      <c r="E47" s="626">
        <v>0.4</v>
      </c>
      <c r="F47" s="626"/>
      <c r="G47" s="626"/>
      <c r="H47" s="626"/>
      <c r="I47" s="627">
        <f t="shared" si="4"/>
        <v>132537600.00000003</v>
      </c>
      <c r="J47" s="627">
        <f t="shared" si="5"/>
        <v>31146336.000000007</v>
      </c>
      <c r="K47" s="627">
        <f t="shared" ref="K47:K110" si="9">J47+I47</f>
        <v>163683936.00000003</v>
      </c>
      <c r="L47" s="628">
        <v>450000</v>
      </c>
      <c r="M47" s="628"/>
      <c r="N47" s="627">
        <f t="shared" si="7"/>
        <v>164133936.00000003</v>
      </c>
      <c r="O47" s="629">
        <f>N47</f>
        <v>164133936.00000003</v>
      </c>
      <c r="P47" s="629"/>
      <c r="Q47" s="630"/>
    </row>
    <row r="48" spans="1:17" s="28" customFormat="1" ht="19.899999999999999" customHeight="1" x14ac:dyDescent="0.3">
      <c r="A48" s="622">
        <v>40</v>
      </c>
      <c r="B48" s="623" t="s">
        <v>112</v>
      </c>
      <c r="C48" s="624">
        <v>3.99</v>
      </c>
      <c r="D48" s="625">
        <f>SUM(E48:H48)</f>
        <v>0.3</v>
      </c>
      <c r="E48" s="626">
        <v>0.3</v>
      </c>
      <c r="F48" s="626"/>
      <c r="G48" s="626"/>
      <c r="H48" s="626"/>
      <c r="I48" s="627">
        <f t="shared" si="4"/>
        <v>120463200</v>
      </c>
      <c r="J48" s="627">
        <f t="shared" si="5"/>
        <v>28308852</v>
      </c>
      <c r="K48" s="627">
        <f t="shared" si="9"/>
        <v>148772052</v>
      </c>
      <c r="L48" s="628">
        <v>400000</v>
      </c>
      <c r="M48" s="628"/>
      <c r="N48" s="627">
        <f t="shared" si="7"/>
        <v>149172052</v>
      </c>
      <c r="O48" s="629">
        <f t="shared" ref="O48:O60" si="10">N48</f>
        <v>149172052</v>
      </c>
      <c r="P48" s="629"/>
      <c r="Q48" s="630"/>
    </row>
    <row r="49" spans="1:17" s="28" customFormat="1" ht="19.899999999999999" customHeight="1" x14ac:dyDescent="0.3">
      <c r="A49" s="622">
        <v>41</v>
      </c>
      <c r="B49" s="623" t="s">
        <v>113</v>
      </c>
      <c r="C49" s="624">
        <v>3.66</v>
      </c>
      <c r="D49" s="625">
        <f>E49+F49+G49+M49+H49</f>
        <v>0</v>
      </c>
      <c r="E49" s="626">
        <v>0</v>
      </c>
      <c r="F49" s="626"/>
      <c r="G49" s="626"/>
      <c r="H49" s="626"/>
      <c r="I49" s="627">
        <f t="shared" si="4"/>
        <v>102772800</v>
      </c>
      <c r="J49" s="627">
        <f t="shared" si="5"/>
        <v>24151608</v>
      </c>
      <c r="K49" s="627">
        <f t="shared" si="9"/>
        <v>126924408</v>
      </c>
      <c r="L49" s="628">
        <v>400000</v>
      </c>
      <c r="M49" s="628"/>
      <c r="N49" s="627">
        <f t="shared" si="7"/>
        <v>127324408</v>
      </c>
      <c r="O49" s="629">
        <f t="shared" si="10"/>
        <v>127324408</v>
      </c>
      <c r="P49" s="629"/>
      <c r="Q49" s="630"/>
    </row>
    <row r="50" spans="1:17" s="28" customFormat="1" ht="19.899999999999999" customHeight="1" x14ac:dyDescent="0.3">
      <c r="A50" s="622">
        <v>42</v>
      </c>
      <c r="B50" s="623" t="s">
        <v>114</v>
      </c>
      <c r="C50" s="624">
        <v>3</v>
      </c>
      <c r="D50" s="625"/>
      <c r="E50" s="626"/>
      <c r="F50" s="626"/>
      <c r="G50" s="626"/>
      <c r="H50" s="626"/>
      <c r="I50" s="627">
        <f t="shared" si="4"/>
        <v>84240000</v>
      </c>
      <c r="J50" s="627">
        <f t="shared" si="5"/>
        <v>19796400</v>
      </c>
      <c r="K50" s="627">
        <f t="shared" si="9"/>
        <v>104036400</v>
      </c>
      <c r="L50" s="628"/>
      <c r="M50" s="628">
        <v>250000</v>
      </c>
      <c r="N50" s="627">
        <f t="shared" si="7"/>
        <v>104286400</v>
      </c>
      <c r="O50" s="629">
        <f t="shared" si="10"/>
        <v>104286400</v>
      </c>
      <c r="P50" s="629"/>
      <c r="Q50" s="630"/>
    </row>
    <row r="51" spans="1:17" s="28" customFormat="1" ht="19.899999999999999" customHeight="1" x14ac:dyDescent="0.3">
      <c r="A51" s="622">
        <v>43</v>
      </c>
      <c r="B51" s="623" t="s">
        <v>115</v>
      </c>
      <c r="C51" s="624">
        <v>3.33</v>
      </c>
      <c r="D51" s="625"/>
      <c r="E51" s="626">
        <v>0</v>
      </c>
      <c r="F51" s="626"/>
      <c r="G51" s="626"/>
      <c r="H51" s="626"/>
      <c r="I51" s="627">
        <f t="shared" si="4"/>
        <v>93506400</v>
      </c>
      <c r="J51" s="627">
        <f t="shared" si="5"/>
        <v>21974004</v>
      </c>
      <c r="K51" s="627">
        <f t="shared" si="9"/>
        <v>115480404</v>
      </c>
      <c r="L51" s="628"/>
      <c r="M51" s="628">
        <v>250000</v>
      </c>
      <c r="N51" s="627">
        <f t="shared" si="7"/>
        <v>115730404</v>
      </c>
      <c r="O51" s="629">
        <f t="shared" si="10"/>
        <v>115730404</v>
      </c>
      <c r="P51" s="629"/>
      <c r="Q51" s="630"/>
    </row>
    <row r="52" spans="1:17" s="28" customFormat="1" ht="19.899999999999999" customHeight="1" x14ac:dyDescent="0.3">
      <c r="A52" s="622">
        <v>44</v>
      </c>
      <c r="B52" s="623" t="s">
        <v>116</v>
      </c>
      <c r="C52" s="624">
        <v>3.66</v>
      </c>
      <c r="D52" s="625"/>
      <c r="E52" s="626">
        <v>0</v>
      </c>
      <c r="F52" s="626"/>
      <c r="G52" s="626"/>
      <c r="H52" s="626"/>
      <c r="I52" s="627">
        <f t="shared" si="4"/>
        <v>102772800</v>
      </c>
      <c r="J52" s="627">
        <f t="shared" si="5"/>
        <v>24151608</v>
      </c>
      <c r="K52" s="627">
        <f t="shared" si="9"/>
        <v>126924408</v>
      </c>
      <c r="L52" s="628"/>
      <c r="M52" s="628">
        <v>250000</v>
      </c>
      <c r="N52" s="627">
        <f t="shared" si="7"/>
        <v>127174408</v>
      </c>
      <c r="O52" s="629">
        <f t="shared" si="10"/>
        <v>127174408</v>
      </c>
      <c r="P52" s="629"/>
      <c r="Q52" s="630"/>
    </row>
    <row r="53" spans="1:17" s="28" customFormat="1" ht="19.899999999999999" customHeight="1" x14ac:dyDescent="0.3">
      <c r="A53" s="622">
        <v>45</v>
      </c>
      <c r="B53" s="623" t="s">
        <v>117</v>
      </c>
      <c r="C53" s="624">
        <v>3.99</v>
      </c>
      <c r="D53" s="625"/>
      <c r="E53" s="626">
        <v>0</v>
      </c>
      <c r="F53" s="626"/>
      <c r="G53" s="626"/>
      <c r="H53" s="626"/>
      <c r="I53" s="627">
        <f t="shared" si="4"/>
        <v>112039200</v>
      </c>
      <c r="J53" s="627">
        <f t="shared" si="5"/>
        <v>26329212</v>
      </c>
      <c r="K53" s="627">
        <f t="shared" si="9"/>
        <v>138368412</v>
      </c>
      <c r="L53" s="628"/>
      <c r="M53" s="628">
        <v>250000</v>
      </c>
      <c r="N53" s="627">
        <f t="shared" si="7"/>
        <v>138618412</v>
      </c>
      <c r="O53" s="629">
        <f t="shared" si="10"/>
        <v>138618412</v>
      </c>
      <c r="P53" s="629"/>
      <c r="Q53" s="630"/>
    </row>
    <row r="54" spans="1:17" s="28" customFormat="1" ht="31.5" customHeight="1" x14ac:dyDescent="0.3">
      <c r="A54" s="622">
        <v>46</v>
      </c>
      <c r="B54" s="623" t="s">
        <v>118</v>
      </c>
      <c r="C54" s="624">
        <v>3.99</v>
      </c>
      <c r="D54" s="625"/>
      <c r="E54" s="626">
        <v>0</v>
      </c>
      <c r="F54" s="626"/>
      <c r="G54" s="626"/>
      <c r="H54" s="626"/>
      <c r="I54" s="627">
        <f t="shared" si="4"/>
        <v>112039200</v>
      </c>
      <c r="J54" s="627">
        <f t="shared" si="5"/>
        <v>26329212</v>
      </c>
      <c r="K54" s="627">
        <f t="shared" si="9"/>
        <v>138368412</v>
      </c>
      <c r="L54" s="628"/>
      <c r="M54" s="628">
        <v>250000</v>
      </c>
      <c r="N54" s="627">
        <f t="shared" si="7"/>
        <v>138618412</v>
      </c>
      <c r="O54" s="629">
        <f t="shared" si="10"/>
        <v>138618412</v>
      </c>
      <c r="P54" s="629"/>
      <c r="Q54" s="630"/>
    </row>
    <row r="55" spans="1:17" s="28" customFormat="1" ht="29.25" customHeight="1" x14ac:dyDescent="0.3">
      <c r="A55" s="622">
        <v>47</v>
      </c>
      <c r="B55" s="623" t="s">
        <v>119</v>
      </c>
      <c r="C55" s="624">
        <v>3.66</v>
      </c>
      <c r="D55" s="625"/>
      <c r="E55" s="626"/>
      <c r="F55" s="626"/>
      <c r="G55" s="626"/>
      <c r="H55" s="626"/>
      <c r="I55" s="627">
        <f t="shared" si="4"/>
        <v>102772800</v>
      </c>
      <c r="J55" s="627">
        <f t="shared" si="5"/>
        <v>24151608</v>
      </c>
      <c r="K55" s="627">
        <f t="shared" si="9"/>
        <v>126924408</v>
      </c>
      <c r="L55" s="628"/>
      <c r="M55" s="628">
        <v>250000</v>
      </c>
      <c r="N55" s="627">
        <f t="shared" si="7"/>
        <v>127174408</v>
      </c>
      <c r="O55" s="629">
        <f t="shared" si="10"/>
        <v>127174408</v>
      </c>
      <c r="P55" s="629"/>
      <c r="Q55" s="630"/>
    </row>
    <row r="56" spans="1:17" s="28" customFormat="1" ht="19.899999999999999" customHeight="1" x14ac:dyDescent="0.3">
      <c r="A56" s="622">
        <v>48</v>
      </c>
      <c r="B56" s="623" t="s">
        <v>120</v>
      </c>
      <c r="C56" s="624">
        <v>3.34</v>
      </c>
      <c r="D56" s="625"/>
      <c r="E56" s="626">
        <v>0</v>
      </c>
      <c r="F56" s="626"/>
      <c r="G56" s="626"/>
      <c r="H56" s="626"/>
      <c r="I56" s="627">
        <f t="shared" si="4"/>
        <v>93787200</v>
      </c>
      <c r="J56" s="627">
        <f t="shared" si="5"/>
        <v>22039992</v>
      </c>
      <c r="K56" s="627">
        <f t="shared" si="9"/>
        <v>115827192</v>
      </c>
      <c r="L56" s="628"/>
      <c r="M56" s="628">
        <v>250000</v>
      </c>
      <c r="N56" s="627">
        <f t="shared" si="7"/>
        <v>116077192</v>
      </c>
      <c r="O56" s="629">
        <f t="shared" si="10"/>
        <v>116077192</v>
      </c>
      <c r="P56" s="629"/>
      <c r="Q56" s="630"/>
    </row>
    <row r="57" spans="1:17" s="28" customFormat="1" ht="30.75" customHeight="1" x14ac:dyDescent="0.3">
      <c r="A57" s="622">
        <v>49</v>
      </c>
      <c r="B57" s="623" t="s">
        <v>121</v>
      </c>
      <c r="C57" s="624">
        <v>4.32</v>
      </c>
      <c r="D57" s="625"/>
      <c r="E57" s="626">
        <v>0</v>
      </c>
      <c r="F57" s="626"/>
      <c r="G57" s="626"/>
      <c r="H57" s="626"/>
      <c r="I57" s="627">
        <f t="shared" si="4"/>
        <v>121305600</v>
      </c>
      <c r="J57" s="627">
        <f t="shared" si="5"/>
        <v>28506816</v>
      </c>
      <c r="K57" s="627">
        <f t="shared" si="9"/>
        <v>149812416</v>
      </c>
      <c r="L57" s="628"/>
      <c r="M57" s="628">
        <v>250000</v>
      </c>
      <c r="N57" s="627">
        <f t="shared" si="7"/>
        <v>150062416</v>
      </c>
      <c r="O57" s="629">
        <f t="shared" si="10"/>
        <v>150062416</v>
      </c>
      <c r="P57" s="629"/>
      <c r="Q57" s="630"/>
    </row>
    <row r="58" spans="1:17" s="28" customFormat="1" ht="19.899999999999999" customHeight="1" x14ac:dyDescent="0.3">
      <c r="A58" s="622">
        <v>50</v>
      </c>
      <c r="B58" s="623" t="s">
        <v>122</v>
      </c>
      <c r="C58" s="624">
        <v>4.32</v>
      </c>
      <c r="D58" s="625"/>
      <c r="E58" s="626">
        <v>0</v>
      </c>
      <c r="F58" s="626"/>
      <c r="G58" s="626"/>
      <c r="H58" s="626"/>
      <c r="I58" s="627">
        <f t="shared" si="4"/>
        <v>121305600</v>
      </c>
      <c r="J58" s="627">
        <f t="shared" si="5"/>
        <v>28506816</v>
      </c>
      <c r="K58" s="627">
        <f t="shared" si="9"/>
        <v>149812416</v>
      </c>
      <c r="L58" s="628"/>
      <c r="M58" s="628">
        <v>250000</v>
      </c>
      <c r="N58" s="627">
        <f t="shared" si="7"/>
        <v>150062416</v>
      </c>
      <c r="O58" s="629">
        <f t="shared" si="10"/>
        <v>150062416</v>
      </c>
      <c r="P58" s="629"/>
      <c r="Q58" s="630"/>
    </row>
    <row r="59" spans="1:17" s="28" customFormat="1" ht="19.899999999999999" customHeight="1" x14ac:dyDescent="0.3">
      <c r="A59" s="622">
        <v>51</v>
      </c>
      <c r="B59" s="623" t="s">
        <v>123</v>
      </c>
      <c r="C59" s="624">
        <v>3.99</v>
      </c>
      <c r="D59" s="625">
        <f>E59+F59+G59+M59+H59</f>
        <v>0.3</v>
      </c>
      <c r="E59" s="626">
        <v>0.3</v>
      </c>
      <c r="F59" s="626"/>
      <c r="G59" s="626"/>
      <c r="H59" s="626"/>
      <c r="I59" s="627">
        <f t="shared" si="4"/>
        <v>120463200</v>
      </c>
      <c r="J59" s="627">
        <f t="shared" si="5"/>
        <v>28308852</v>
      </c>
      <c r="K59" s="627">
        <f t="shared" si="9"/>
        <v>148772052</v>
      </c>
      <c r="L59" s="628">
        <v>400000</v>
      </c>
      <c r="M59" s="628"/>
      <c r="N59" s="627">
        <f t="shared" si="7"/>
        <v>149172052</v>
      </c>
      <c r="O59" s="629">
        <f t="shared" si="10"/>
        <v>149172052</v>
      </c>
      <c r="P59" s="629"/>
      <c r="Q59" s="630"/>
    </row>
    <row r="60" spans="1:17" s="28" customFormat="1" ht="19.899999999999999" customHeight="1" x14ac:dyDescent="0.3">
      <c r="A60" s="622">
        <v>52</v>
      </c>
      <c r="B60" s="623" t="s">
        <v>124</v>
      </c>
      <c r="C60" s="624">
        <v>4.32</v>
      </c>
      <c r="D60" s="625">
        <f>E60+F60+G60+M60+H60</f>
        <v>0.2</v>
      </c>
      <c r="E60" s="626">
        <v>0.2</v>
      </c>
      <c r="F60" s="626"/>
      <c r="G60" s="626"/>
      <c r="H60" s="626"/>
      <c r="I60" s="627">
        <f t="shared" si="4"/>
        <v>126921600.00000003</v>
      </c>
      <c r="J60" s="627">
        <f t="shared" si="5"/>
        <v>29826576.000000007</v>
      </c>
      <c r="K60" s="627">
        <f t="shared" si="9"/>
        <v>156748176.00000003</v>
      </c>
      <c r="L60" s="628">
        <v>300000</v>
      </c>
      <c r="M60" s="628"/>
      <c r="N60" s="627">
        <f t="shared" si="7"/>
        <v>157048176.00000003</v>
      </c>
      <c r="O60" s="629">
        <f t="shared" si="10"/>
        <v>157048176.00000003</v>
      </c>
      <c r="P60" s="629"/>
      <c r="Q60" s="630"/>
    </row>
    <row r="61" spans="1:17" s="27" customFormat="1" ht="70.5" customHeight="1" x14ac:dyDescent="0.3">
      <c r="A61" s="617" t="s">
        <v>303</v>
      </c>
      <c r="B61" s="618" t="s">
        <v>125</v>
      </c>
      <c r="C61" s="621">
        <f t="shared" ref="C61:L61" si="11">SUBTOTAL(9,C62:C117)</f>
        <v>369485000</v>
      </c>
      <c r="D61" s="621">
        <f t="shared" si="11"/>
        <v>0</v>
      </c>
      <c r="E61" s="621">
        <f t="shared" si="11"/>
        <v>0</v>
      </c>
      <c r="F61" s="621">
        <f t="shared" si="11"/>
        <v>0</v>
      </c>
      <c r="G61" s="621">
        <f t="shared" si="11"/>
        <v>0</v>
      </c>
      <c r="H61" s="621">
        <f t="shared" si="11"/>
        <v>0</v>
      </c>
      <c r="I61" s="621">
        <f t="shared" si="11"/>
        <v>4433820000</v>
      </c>
      <c r="J61" s="621">
        <f t="shared" si="11"/>
        <v>1041947700</v>
      </c>
      <c r="K61" s="621">
        <f t="shared" si="11"/>
        <v>5475767700</v>
      </c>
      <c r="L61" s="621">
        <f t="shared" si="11"/>
        <v>0</v>
      </c>
      <c r="M61" s="634">
        <f>SUBTOTAL(9,M62:M117)</f>
        <v>4050000</v>
      </c>
      <c r="N61" s="634">
        <f>SUBTOTAL(9,N62:N117)</f>
        <v>5479817700</v>
      </c>
      <c r="O61" s="635">
        <f>SUM(O62:O117)</f>
        <v>2960417700</v>
      </c>
      <c r="P61" s="635">
        <f t="shared" ref="P61:Q61" si="12">SUM(P62:P117)</f>
        <v>1063927800</v>
      </c>
      <c r="Q61" s="635">
        <f t="shared" si="12"/>
        <v>1455472200</v>
      </c>
    </row>
    <row r="62" spans="1:17" s="28" customFormat="1" ht="19.899999999999999" customHeight="1" x14ac:dyDescent="0.3">
      <c r="A62" s="622">
        <v>1</v>
      </c>
      <c r="B62" s="623" t="s">
        <v>126</v>
      </c>
      <c r="C62" s="636">
        <v>7200000</v>
      </c>
      <c r="D62" s="636"/>
      <c r="E62" s="628"/>
      <c r="F62" s="628"/>
      <c r="G62" s="628"/>
      <c r="H62" s="628"/>
      <c r="I62" s="627">
        <f>C62*12</f>
        <v>86400000</v>
      </c>
      <c r="J62" s="627">
        <f>I62*23.5%</f>
        <v>20304000</v>
      </c>
      <c r="K62" s="627">
        <f t="shared" si="9"/>
        <v>106704000</v>
      </c>
      <c r="L62" s="628"/>
      <c r="M62" s="628"/>
      <c r="N62" s="627">
        <f>SUM(K62:M62)</f>
        <v>106704000</v>
      </c>
      <c r="O62" s="629">
        <f>N62</f>
        <v>106704000</v>
      </c>
      <c r="P62" s="630"/>
      <c r="Q62" s="630"/>
    </row>
    <row r="63" spans="1:17" s="28" customFormat="1" ht="19.899999999999999" customHeight="1" x14ac:dyDescent="0.3">
      <c r="A63" s="622">
        <f>+A62+1</f>
        <v>2</v>
      </c>
      <c r="B63" s="623" t="s">
        <v>127</v>
      </c>
      <c r="C63" s="636">
        <v>6410000</v>
      </c>
      <c r="D63" s="636"/>
      <c r="E63" s="628"/>
      <c r="F63" s="628"/>
      <c r="G63" s="628"/>
      <c r="H63" s="628"/>
      <c r="I63" s="627">
        <f t="shared" ref="I63:I117" si="13">C63*12</f>
        <v>76920000</v>
      </c>
      <c r="J63" s="627">
        <f t="shared" ref="J63:J117" si="14">I63*23.5%</f>
        <v>18076200</v>
      </c>
      <c r="K63" s="627">
        <f t="shared" si="9"/>
        <v>94996200</v>
      </c>
      <c r="L63" s="628"/>
      <c r="M63" s="628"/>
      <c r="N63" s="627">
        <f t="shared" si="7"/>
        <v>94996200</v>
      </c>
      <c r="O63" s="629">
        <f t="shared" ref="O63:O78" si="15">N63</f>
        <v>94996200</v>
      </c>
      <c r="P63" s="630"/>
      <c r="Q63" s="630"/>
    </row>
    <row r="64" spans="1:17" s="28" customFormat="1" ht="19.899999999999999" customHeight="1" x14ac:dyDescent="0.3">
      <c r="A64" s="622">
        <v>3</v>
      </c>
      <c r="B64" s="623" t="s">
        <v>128</v>
      </c>
      <c r="C64" s="636">
        <v>6410000</v>
      </c>
      <c r="D64" s="636"/>
      <c r="E64" s="628"/>
      <c r="F64" s="628"/>
      <c r="G64" s="628"/>
      <c r="H64" s="628"/>
      <c r="I64" s="627">
        <f t="shared" si="13"/>
        <v>76920000</v>
      </c>
      <c r="J64" s="627">
        <f t="shared" si="14"/>
        <v>18076200</v>
      </c>
      <c r="K64" s="627">
        <f t="shared" si="9"/>
        <v>94996200</v>
      </c>
      <c r="L64" s="628"/>
      <c r="M64" s="628"/>
      <c r="N64" s="627">
        <f t="shared" si="7"/>
        <v>94996200</v>
      </c>
      <c r="O64" s="629">
        <f t="shared" si="15"/>
        <v>94996200</v>
      </c>
      <c r="P64" s="630"/>
      <c r="Q64" s="630"/>
    </row>
    <row r="65" spans="1:17" s="28" customFormat="1" ht="19.899999999999999" customHeight="1" x14ac:dyDescent="0.3">
      <c r="A65" s="622">
        <v>4</v>
      </c>
      <c r="B65" s="623" t="s">
        <v>129</v>
      </c>
      <c r="C65" s="636">
        <v>4800000</v>
      </c>
      <c r="D65" s="636"/>
      <c r="E65" s="628"/>
      <c r="F65" s="628"/>
      <c r="G65" s="628"/>
      <c r="H65" s="628"/>
      <c r="I65" s="627">
        <f t="shared" si="13"/>
        <v>57600000</v>
      </c>
      <c r="J65" s="627">
        <f t="shared" si="14"/>
        <v>13536000</v>
      </c>
      <c r="K65" s="627">
        <f t="shared" si="9"/>
        <v>71136000</v>
      </c>
      <c r="L65" s="628"/>
      <c r="M65" s="628"/>
      <c r="N65" s="627">
        <f t="shared" si="7"/>
        <v>71136000</v>
      </c>
      <c r="O65" s="629">
        <f t="shared" si="15"/>
        <v>71136000</v>
      </c>
      <c r="P65" s="630"/>
      <c r="Q65" s="630"/>
    </row>
    <row r="66" spans="1:17" s="28" customFormat="1" ht="19.899999999999999" customHeight="1" x14ac:dyDescent="0.3">
      <c r="A66" s="622">
        <v>5</v>
      </c>
      <c r="B66" s="623" t="s">
        <v>130</v>
      </c>
      <c r="C66" s="636">
        <v>6800000</v>
      </c>
      <c r="D66" s="636"/>
      <c r="E66" s="628"/>
      <c r="F66" s="628"/>
      <c r="G66" s="628"/>
      <c r="H66" s="628"/>
      <c r="I66" s="627">
        <f t="shared" si="13"/>
        <v>81600000</v>
      </c>
      <c r="J66" s="627">
        <f t="shared" si="14"/>
        <v>19176000</v>
      </c>
      <c r="K66" s="627">
        <f t="shared" si="9"/>
        <v>100776000</v>
      </c>
      <c r="L66" s="628"/>
      <c r="M66" s="628"/>
      <c r="N66" s="627">
        <f t="shared" si="7"/>
        <v>100776000</v>
      </c>
      <c r="O66" s="629">
        <f t="shared" si="15"/>
        <v>100776000</v>
      </c>
      <c r="P66" s="630"/>
      <c r="Q66" s="630"/>
    </row>
    <row r="67" spans="1:17" s="28" customFormat="1" ht="19.899999999999999" customHeight="1" x14ac:dyDescent="0.3">
      <c r="A67" s="622">
        <v>6</v>
      </c>
      <c r="B67" s="623" t="s">
        <v>131</v>
      </c>
      <c r="C67" s="636">
        <v>5600000</v>
      </c>
      <c r="D67" s="636"/>
      <c r="E67" s="628"/>
      <c r="F67" s="628"/>
      <c r="G67" s="628"/>
      <c r="H67" s="628"/>
      <c r="I67" s="627">
        <f t="shared" si="13"/>
        <v>67200000</v>
      </c>
      <c r="J67" s="627">
        <f t="shared" si="14"/>
        <v>15792000</v>
      </c>
      <c r="K67" s="627">
        <f t="shared" si="9"/>
        <v>82992000</v>
      </c>
      <c r="L67" s="628"/>
      <c r="M67" s="628"/>
      <c r="N67" s="627">
        <f t="shared" si="7"/>
        <v>82992000</v>
      </c>
      <c r="O67" s="629">
        <f t="shared" si="15"/>
        <v>82992000</v>
      </c>
      <c r="P67" s="630"/>
      <c r="Q67" s="630"/>
    </row>
    <row r="68" spans="1:17" s="28" customFormat="1" ht="19.899999999999999" customHeight="1" x14ac:dyDescent="0.3">
      <c r="A68" s="622">
        <v>7</v>
      </c>
      <c r="B68" s="623" t="s">
        <v>132</v>
      </c>
      <c r="C68" s="636">
        <v>5200000</v>
      </c>
      <c r="D68" s="636"/>
      <c r="E68" s="628"/>
      <c r="F68" s="628"/>
      <c r="G68" s="628"/>
      <c r="H68" s="628"/>
      <c r="I68" s="627">
        <f t="shared" si="13"/>
        <v>62400000</v>
      </c>
      <c r="J68" s="627">
        <f t="shared" si="14"/>
        <v>14664000</v>
      </c>
      <c r="K68" s="627">
        <f t="shared" si="9"/>
        <v>77064000</v>
      </c>
      <c r="L68" s="628"/>
      <c r="M68" s="628"/>
      <c r="N68" s="627">
        <f t="shared" si="7"/>
        <v>77064000</v>
      </c>
      <c r="O68" s="629">
        <f t="shared" si="15"/>
        <v>77064000</v>
      </c>
      <c r="P68" s="630"/>
      <c r="Q68" s="630"/>
    </row>
    <row r="69" spans="1:17" s="28" customFormat="1" ht="19.899999999999999" customHeight="1" x14ac:dyDescent="0.3">
      <c r="A69" s="622">
        <v>8</v>
      </c>
      <c r="B69" s="623" t="s">
        <v>133</v>
      </c>
      <c r="C69" s="636">
        <v>6410000</v>
      </c>
      <c r="D69" s="636"/>
      <c r="E69" s="628"/>
      <c r="F69" s="628"/>
      <c r="G69" s="628"/>
      <c r="H69" s="628"/>
      <c r="I69" s="627">
        <f t="shared" si="13"/>
        <v>76920000</v>
      </c>
      <c r="J69" s="627">
        <f t="shared" si="14"/>
        <v>18076200</v>
      </c>
      <c r="K69" s="627">
        <f t="shared" si="9"/>
        <v>94996200</v>
      </c>
      <c r="L69" s="628"/>
      <c r="M69" s="628"/>
      <c r="N69" s="627">
        <f t="shared" si="7"/>
        <v>94996200</v>
      </c>
      <c r="O69" s="629">
        <f t="shared" si="15"/>
        <v>94996200</v>
      </c>
      <c r="P69" s="630"/>
      <c r="Q69" s="630"/>
    </row>
    <row r="70" spans="1:17" s="28" customFormat="1" ht="19.899999999999999" customHeight="1" x14ac:dyDescent="0.3">
      <c r="A70" s="622">
        <v>9</v>
      </c>
      <c r="B70" s="623" t="s">
        <v>134</v>
      </c>
      <c r="C70" s="636">
        <v>6500000</v>
      </c>
      <c r="D70" s="636"/>
      <c r="E70" s="628"/>
      <c r="F70" s="628"/>
      <c r="G70" s="628"/>
      <c r="H70" s="628"/>
      <c r="I70" s="627">
        <f t="shared" si="13"/>
        <v>78000000</v>
      </c>
      <c r="J70" s="627">
        <f t="shared" si="14"/>
        <v>18330000</v>
      </c>
      <c r="K70" s="627">
        <f t="shared" si="9"/>
        <v>96330000</v>
      </c>
      <c r="L70" s="628"/>
      <c r="M70" s="628"/>
      <c r="N70" s="627">
        <f t="shared" si="7"/>
        <v>96330000</v>
      </c>
      <c r="O70" s="629">
        <f t="shared" si="15"/>
        <v>96330000</v>
      </c>
      <c r="P70" s="630"/>
      <c r="Q70" s="630"/>
    </row>
    <row r="71" spans="1:17" s="29" customFormat="1" ht="19.899999999999999" customHeight="1" x14ac:dyDescent="0.3">
      <c r="A71" s="622">
        <v>10</v>
      </c>
      <c r="B71" s="623" t="s">
        <v>135</v>
      </c>
      <c r="C71" s="636">
        <v>6410000</v>
      </c>
      <c r="D71" s="636"/>
      <c r="E71" s="628"/>
      <c r="F71" s="637"/>
      <c r="G71" s="628"/>
      <c r="H71" s="628"/>
      <c r="I71" s="627">
        <f t="shared" si="13"/>
        <v>76920000</v>
      </c>
      <c r="J71" s="627">
        <f t="shared" si="14"/>
        <v>18076200</v>
      </c>
      <c r="K71" s="627">
        <f t="shared" si="9"/>
        <v>94996200</v>
      </c>
      <c r="L71" s="628"/>
      <c r="M71" s="628"/>
      <c r="N71" s="627">
        <f t="shared" si="7"/>
        <v>94996200</v>
      </c>
      <c r="O71" s="629">
        <f t="shared" si="15"/>
        <v>94996200</v>
      </c>
      <c r="P71" s="638"/>
      <c r="Q71" s="638"/>
    </row>
    <row r="72" spans="1:17" s="28" customFormat="1" ht="19.899999999999999" customHeight="1" x14ac:dyDescent="0.3">
      <c r="A72" s="622">
        <v>11</v>
      </c>
      <c r="B72" s="623" t="s">
        <v>136</v>
      </c>
      <c r="C72" s="636">
        <v>4730000</v>
      </c>
      <c r="D72" s="636"/>
      <c r="E72" s="628"/>
      <c r="F72" s="628"/>
      <c r="G72" s="628"/>
      <c r="H72" s="628"/>
      <c r="I72" s="627">
        <f t="shared" si="13"/>
        <v>56760000</v>
      </c>
      <c r="J72" s="627">
        <f t="shared" si="14"/>
        <v>13338600</v>
      </c>
      <c r="K72" s="627">
        <f t="shared" si="9"/>
        <v>70098600</v>
      </c>
      <c r="L72" s="628"/>
      <c r="M72" s="628"/>
      <c r="N72" s="627">
        <f t="shared" si="7"/>
        <v>70098600</v>
      </c>
      <c r="O72" s="629">
        <f t="shared" si="15"/>
        <v>70098600</v>
      </c>
      <c r="P72" s="630"/>
      <c r="Q72" s="630"/>
    </row>
    <row r="73" spans="1:17" s="28" customFormat="1" ht="19.899999999999999" customHeight="1" x14ac:dyDescent="0.3">
      <c r="A73" s="622">
        <v>12</v>
      </c>
      <c r="B73" s="623" t="s">
        <v>137</v>
      </c>
      <c r="C73" s="636">
        <v>4800000</v>
      </c>
      <c r="D73" s="636"/>
      <c r="E73" s="628"/>
      <c r="F73" s="628"/>
      <c r="G73" s="628"/>
      <c r="H73" s="628"/>
      <c r="I73" s="627">
        <f>C73*12</f>
        <v>57600000</v>
      </c>
      <c r="J73" s="627">
        <f t="shared" si="14"/>
        <v>13536000</v>
      </c>
      <c r="K73" s="627">
        <f t="shared" si="9"/>
        <v>71136000</v>
      </c>
      <c r="L73" s="628"/>
      <c r="M73" s="628"/>
      <c r="N73" s="627">
        <f t="shared" si="7"/>
        <v>71136000</v>
      </c>
      <c r="O73" s="629">
        <f t="shared" si="15"/>
        <v>71136000</v>
      </c>
      <c r="P73" s="630"/>
      <c r="Q73" s="630"/>
    </row>
    <row r="74" spans="1:17" s="28" customFormat="1" ht="19.899999999999999" customHeight="1" x14ac:dyDescent="0.3">
      <c r="A74" s="622">
        <v>13</v>
      </c>
      <c r="B74" s="623" t="s">
        <v>138</v>
      </c>
      <c r="C74" s="636">
        <v>7200000</v>
      </c>
      <c r="D74" s="636"/>
      <c r="E74" s="628"/>
      <c r="F74" s="628"/>
      <c r="G74" s="628"/>
      <c r="H74" s="628"/>
      <c r="I74" s="627">
        <f t="shared" si="13"/>
        <v>86400000</v>
      </c>
      <c r="J74" s="627">
        <f t="shared" si="14"/>
        <v>20304000</v>
      </c>
      <c r="K74" s="627">
        <f t="shared" si="9"/>
        <v>106704000</v>
      </c>
      <c r="L74" s="628"/>
      <c r="M74" s="628"/>
      <c r="N74" s="627">
        <f t="shared" ref="N74:N137" si="16">SUM(K74:M74)</f>
        <v>106704000</v>
      </c>
      <c r="O74" s="629">
        <f t="shared" si="15"/>
        <v>106704000</v>
      </c>
      <c r="P74" s="630"/>
      <c r="Q74" s="630"/>
    </row>
    <row r="75" spans="1:17" s="28" customFormat="1" ht="19.899999999999999" customHeight="1" x14ac:dyDescent="0.3">
      <c r="A75" s="622">
        <v>14</v>
      </c>
      <c r="B75" s="623" t="s">
        <v>139</v>
      </c>
      <c r="C75" s="636">
        <v>8900000</v>
      </c>
      <c r="D75" s="636"/>
      <c r="E75" s="628"/>
      <c r="F75" s="628"/>
      <c r="G75" s="628"/>
      <c r="H75" s="628"/>
      <c r="I75" s="627">
        <f t="shared" si="13"/>
        <v>106800000</v>
      </c>
      <c r="J75" s="627">
        <f t="shared" si="14"/>
        <v>25098000</v>
      </c>
      <c r="K75" s="627">
        <f t="shared" si="9"/>
        <v>131898000</v>
      </c>
      <c r="L75" s="628"/>
      <c r="M75" s="628"/>
      <c r="N75" s="627">
        <f t="shared" si="16"/>
        <v>131898000</v>
      </c>
      <c r="O75" s="629">
        <f t="shared" si="15"/>
        <v>131898000</v>
      </c>
      <c r="P75" s="630"/>
      <c r="Q75" s="630"/>
    </row>
    <row r="76" spans="1:17" s="28" customFormat="1" ht="19.899999999999999" customHeight="1" x14ac:dyDescent="0.3">
      <c r="A76" s="622">
        <v>15</v>
      </c>
      <c r="B76" s="623" t="s">
        <v>140</v>
      </c>
      <c r="C76" s="636">
        <v>4730000</v>
      </c>
      <c r="D76" s="636"/>
      <c r="E76" s="628"/>
      <c r="F76" s="628"/>
      <c r="G76" s="628"/>
      <c r="H76" s="628"/>
      <c r="I76" s="627">
        <f t="shared" si="13"/>
        <v>56760000</v>
      </c>
      <c r="J76" s="627">
        <f t="shared" si="14"/>
        <v>13338600</v>
      </c>
      <c r="K76" s="627">
        <f t="shared" si="9"/>
        <v>70098600</v>
      </c>
      <c r="L76" s="628"/>
      <c r="M76" s="628"/>
      <c r="N76" s="627">
        <f t="shared" si="16"/>
        <v>70098600</v>
      </c>
      <c r="O76" s="629">
        <f t="shared" si="15"/>
        <v>70098600</v>
      </c>
      <c r="P76" s="630"/>
      <c r="Q76" s="630"/>
    </row>
    <row r="77" spans="1:17" s="28" customFormat="1" ht="19.899999999999999" customHeight="1" x14ac:dyDescent="0.3">
      <c r="A77" s="622">
        <v>16</v>
      </c>
      <c r="B77" s="623" t="s">
        <v>141</v>
      </c>
      <c r="C77" s="636">
        <v>4730000</v>
      </c>
      <c r="D77" s="636"/>
      <c r="E77" s="636"/>
      <c r="F77" s="636"/>
      <c r="G77" s="628"/>
      <c r="H77" s="628"/>
      <c r="I77" s="627">
        <f t="shared" si="13"/>
        <v>56760000</v>
      </c>
      <c r="J77" s="627">
        <f t="shared" si="14"/>
        <v>13338600</v>
      </c>
      <c r="K77" s="627">
        <f t="shared" si="9"/>
        <v>70098600</v>
      </c>
      <c r="L77" s="628"/>
      <c r="M77" s="628"/>
      <c r="N77" s="627">
        <f t="shared" si="16"/>
        <v>70098600</v>
      </c>
      <c r="O77" s="629">
        <f t="shared" si="15"/>
        <v>70098600</v>
      </c>
      <c r="P77" s="630"/>
      <c r="Q77" s="630"/>
    </row>
    <row r="78" spans="1:17" s="28" customFormat="1" ht="19.899999999999999" customHeight="1" x14ac:dyDescent="0.3">
      <c r="A78" s="622">
        <v>17</v>
      </c>
      <c r="B78" s="623" t="s">
        <v>142</v>
      </c>
      <c r="C78" s="636">
        <v>5700000</v>
      </c>
      <c r="D78" s="636"/>
      <c r="E78" s="628"/>
      <c r="F78" s="628"/>
      <c r="G78" s="628"/>
      <c r="H78" s="628"/>
      <c r="I78" s="627">
        <f t="shared" si="13"/>
        <v>68400000</v>
      </c>
      <c r="J78" s="627">
        <f t="shared" si="14"/>
        <v>16074000</v>
      </c>
      <c r="K78" s="627">
        <f t="shared" si="9"/>
        <v>84474000</v>
      </c>
      <c r="L78" s="628"/>
      <c r="M78" s="628"/>
      <c r="N78" s="627">
        <f t="shared" si="16"/>
        <v>84474000</v>
      </c>
      <c r="O78" s="629">
        <f t="shared" si="15"/>
        <v>84474000</v>
      </c>
      <c r="P78" s="629"/>
      <c r="Q78" s="630"/>
    </row>
    <row r="79" spans="1:17" s="28" customFormat="1" ht="19.899999999999999" customHeight="1" x14ac:dyDescent="0.3">
      <c r="A79" s="622">
        <v>18</v>
      </c>
      <c r="B79" s="623" t="s">
        <v>143</v>
      </c>
      <c r="C79" s="636">
        <v>4730000</v>
      </c>
      <c r="D79" s="636"/>
      <c r="E79" s="628"/>
      <c r="F79" s="628"/>
      <c r="G79" s="628"/>
      <c r="H79" s="628"/>
      <c r="I79" s="627">
        <f t="shared" si="13"/>
        <v>56760000</v>
      </c>
      <c r="J79" s="627">
        <f t="shared" si="14"/>
        <v>13338600</v>
      </c>
      <c r="K79" s="627">
        <f t="shared" si="9"/>
        <v>70098600</v>
      </c>
      <c r="L79" s="628"/>
      <c r="M79" s="628"/>
      <c r="N79" s="627">
        <f t="shared" si="16"/>
        <v>70098600</v>
      </c>
      <c r="O79" s="630"/>
      <c r="P79" s="629">
        <f t="shared" ref="P79:P90" si="17">N79</f>
        <v>70098600</v>
      </c>
      <c r="Q79" s="630"/>
    </row>
    <row r="80" spans="1:17" s="28" customFormat="1" ht="19.899999999999999" customHeight="1" x14ac:dyDescent="0.3">
      <c r="A80" s="622">
        <v>19</v>
      </c>
      <c r="B80" s="623" t="s">
        <v>144</v>
      </c>
      <c r="C80" s="636">
        <v>8200000</v>
      </c>
      <c r="D80" s="636"/>
      <c r="E80" s="628"/>
      <c r="F80" s="628"/>
      <c r="G80" s="628"/>
      <c r="H80" s="628"/>
      <c r="I80" s="627">
        <f t="shared" si="13"/>
        <v>98400000</v>
      </c>
      <c r="J80" s="627">
        <f t="shared" si="14"/>
        <v>23124000</v>
      </c>
      <c r="K80" s="627">
        <f t="shared" si="9"/>
        <v>121524000</v>
      </c>
      <c r="L80" s="628"/>
      <c r="M80" s="628"/>
      <c r="N80" s="627">
        <f t="shared" si="16"/>
        <v>121524000</v>
      </c>
      <c r="O80" s="630"/>
      <c r="P80" s="629">
        <f t="shared" si="17"/>
        <v>121524000</v>
      </c>
      <c r="Q80" s="630"/>
    </row>
    <row r="81" spans="1:17" s="28" customFormat="1" ht="19.899999999999999" customHeight="1" x14ac:dyDescent="0.3">
      <c r="A81" s="622">
        <v>20</v>
      </c>
      <c r="B81" s="623" t="s">
        <v>145</v>
      </c>
      <c r="C81" s="636">
        <v>5200000</v>
      </c>
      <c r="D81" s="636"/>
      <c r="E81" s="628"/>
      <c r="F81" s="628"/>
      <c r="G81" s="628"/>
      <c r="H81" s="628"/>
      <c r="I81" s="627">
        <f t="shared" si="13"/>
        <v>62400000</v>
      </c>
      <c r="J81" s="627">
        <f t="shared" si="14"/>
        <v>14664000</v>
      </c>
      <c r="K81" s="627">
        <f t="shared" si="9"/>
        <v>77064000</v>
      </c>
      <c r="L81" s="628"/>
      <c r="M81" s="628"/>
      <c r="N81" s="627">
        <f t="shared" si="16"/>
        <v>77064000</v>
      </c>
      <c r="O81" s="630"/>
      <c r="P81" s="629">
        <f t="shared" si="17"/>
        <v>77064000</v>
      </c>
      <c r="Q81" s="630"/>
    </row>
    <row r="82" spans="1:17" s="28" customFormat="1" ht="19.899999999999999" customHeight="1" x14ac:dyDescent="0.3">
      <c r="A82" s="622">
        <v>21</v>
      </c>
      <c r="B82" s="623" t="s">
        <v>146</v>
      </c>
      <c r="C82" s="636">
        <v>8200000</v>
      </c>
      <c r="D82" s="636"/>
      <c r="E82" s="628"/>
      <c r="F82" s="628"/>
      <c r="G82" s="628"/>
      <c r="H82" s="628"/>
      <c r="I82" s="627">
        <f t="shared" si="13"/>
        <v>98400000</v>
      </c>
      <c r="J82" s="627">
        <f t="shared" si="14"/>
        <v>23124000</v>
      </c>
      <c r="K82" s="627">
        <f t="shared" si="9"/>
        <v>121524000</v>
      </c>
      <c r="L82" s="628"/>
      <c r="M82" s="628"/>
      <c r="N82" s="627">
        <f t="shared" si="16"/>
        <v>121524000</v>
      </c>
      <c r="O82" s="630"/>
      <c r="P82" s="629">
        <f t="shared" si="17"/>
        <v>121524000</v>
      </c>
      <c r="Q82" s="630"/>
    </row>
    <row r="83" spans="1:17" s="28" customFormat="1" ht="19.899999999999999" customHeight="1" x14ac:dyDescent="0.3">
      <c r="A83" s="622">
        <v>22</v>
      </c>
      <c r="B83" s="623" t="s">
        <v>147</v>
      </c>
      <c r="C83" s="636">
        <v>8200000</v>
      </c>
      <c r="D83" s="636"/>
      <c r="E83" s="628"/>
      <c r="F83" s="628"/>
      <c r="G83" s="628"/>
      <c r="H83" s="628"/>
      <c r="I83" s="627">
        <f t="shared" si="13"/>
        <v>98400000</v>
      </c>
      <c r="J83" s="627">
        <f t="shared" si="14"/>
        <v>23124000</v>
      </c>
      <c r="K83" s="627">
        <f t="shared" si="9"/>
        <v>121524000</v>
      </c>
      <c r="L83" s="628"/>
      <c r="M83" s="628"/>
      <c r="N83" s="627">
        <f t="shared" si="16"/>
        <v>121524000</v>
      </c>
      <c r="O83" s="630"/>
      <c r="P83" s="629">
        <f t="shared" si="17"/>
        <v>121524000</v>
      </c>
      <c r="Q83" s="630"/>
    </row>
    <row r="84" spans="1:17" s="28" customFormat="1" ht="19.899999999999999" customHeight="1" x14ac:dyDescent="0.3">
      <c r="A84" s="622">
        <v>23</v>
      </c>
      <c r="B84" s="623" t="s">
        <v>148</v>
      </c>
      <c r="C84" s="636">
        <v>6900000</v>
      </c>
      <c r="D84" s="636"/>
      <c r="E84" s="628"/>
      <c r="F84" s="628"/>
      <c r="G84" s="628"/>
      <c r="H84" s="628"/>
      <c r="I84" s="627">
        <f t="shared" si="13"/>
        <v>82800000</v>
      </c>
      <c r="J84" s="627">
        <f t="shared" si="14"/>
        <v>19458000</v>
      </c>
      <c r="K84" s="627">
        <f t="shared" si="9"/>
        <v>102258000</v>
      </c>
      <c r="L84" s="628"/>
      <c r="M84" s="628"/>
      <c r="N84" s="627">
        <f t="shared" si="16"/>
        <v>102258000</v>
      </c>
      <c r="O84" s="630"/>
      <c r="P84" s="629">
        <f t="shared" si="17"/>
        <v>102258000</v>
      </c>
      <c r="Q84" s="630"/>
    </row>
    <row r="85" spans="1:17" s="28" customFormat="1" ht="19.899999999999999" customHeight="1" x14ac:dyDescent="0.3">
      <c r="A85" s="622">
        <v>24</v>
      </c>
      <c r="B85" s="623" t="s">
        <v>149</v>
      </c>
      <c r="C85" s="636">
        <v>5200000</v>
      </c>
      <c r="D85" s="636"/>
      <c r="E85" s="628"/>
      <c r="F85" s="628"/>
      <c r="G85" s="628"/>
      <c r="H85" s="628"/>
      <c r="I85" s="627">
        <f t="shared" si="13"/>
        <v>62400000</v>
      </c>
      <c r="J85" s="627">
        <f t="shared" si="14"/>
        <v>14664000</v>
      </c>
      <c r="K85" s="627">
        <f t="shared" si="9"/>
        <v>77064000</v>
      </c>
      <c r="L85" s="628"/>
      <c r="M85" s="628"/>
      <c r="N85" s="627">
        <f t="shared" si="16"/>
        <v>77064000</v>
      </c>
      <c r="O85" s="630"/>
      <c r="P85" s="629">
        <f t="shared" si="17"/>
        <v>77064000</v>
      </c>
      <c r="Q85" s="630"/>
    </row>
    <row r="86" spans="1:17" s="28" customFormat="1" ht="19.899999999999999" customHeight="1" x14ac:dyDescent="0.3">
      <c r="A86" s="622">
        <v>25</v>
      </c>
      <c r="B86" s="623" t="s">
        <v>150</v>
      </c>
      <c r="C86" s="636">
        <v>4800000</v>
      </c>
      <c r="D86" s="636"/>
      <c r="E86" s="628"/>
      <c r="F86" s="628"/>
      <c r="G86" s="628"/>
      <c r="H86" s="628"/>
      <c r="I86" s="627">
        <f t="shared" si="13"/>
        <v>57600000</v>
      </c>
      <c r="J86" s="627">
        <f t="shared" si="14"/>
        <v>13536000</v>
      </c>
      <c r="K86" s="627">
        <f t="shared" si="9"/>
        <v>71136000</v>
      </c>
      <c r="L86" s="628"/>
      <c r="M86" s="628"/>
      <c r="N86" s="627">
        <f t="shared" si="16"/>
        <v>71136000</v>
      </c>
      <c r="O86" s="630"/>
      <c r="P86" s="629">
        <f t="shared" si="17"/>
        <v>71136000</v>
      </c>
      <c r="Q86" s="630"/>
    </row>
    <row r="87" spans="1:17" s="28" customFormat="1" ht="19.899999999999999" customHeight="1" x14ac:dyDescent="0.3">
      <c r="A87" s="622">
        <v>26</v>
      </c>
      <c r="B87" s="623" t="s">
        <v>151</v>
      </c>
      <c r="C87" s="636">
        <v>5700000</v>
      </c>
      <c r="D87" s="636"/>
      <c r="E87" s="628"/>
      <c r="F87" s="628"/>
      <c r="G87" s="628"/>
      <c r="H87" s="628"/>
      <c r="I87" s="627">
        <f t="shared" si="13"/>
        <v>68400000</v>
      </c>
      <c r="J87" s="627">
        <f t="shared" si="14"/>
        <v>16074000</v>
      </c>
      <c r="K87" s="627">
        <f t="shared" si="9"/>
        <v>84474000</v>
      </c>
      <c r="L87" s="628"/>
      <c r="M87" s="628"/>
      <c r="N87" s="627">
        <f t="shared" si="16"/>
        <v>84474000</v>
      </c>
      <c r="O87" s="630"/>
      <c r="P87" s="629">
        <f t="shared" si="17"/>
        <v>84474000</v>
      </c>
      <c r="Q87" s="630"/>
    </row>
    <row r="88" spans="1:17" s="28" customFormat="1" ht="19.899999999999999" customHeight="1" x14ac:dyDescent="0.3">
      <c r="A88" s="622">
        <v>27</v>
      </c>
      <c r="B88" s="623" t="s">
        <v>137</v>
      </c>
      <c r="C88" s="628">
        <v>5200000</v>
      </c>
      <c r="D88" s="628"/>
      <c r="E88" s="628"/>
      <c r="F88" s="628"/>
      <c r="G88" s="628"/>
      <c r="H88" s="628"/>
      <c r="I88" s="627">
        <f t="shared" si="13"/>
        <v>62400000</v>
      </c>
      <c r="J88" s="627">
        <f t="shared" si="14"/>
        <v>14664000</v>
      </c>
      <c r="K88" s="627">
        <f t="shared" si="9"/>
        <v>77064000</v>
      </c>
      <c r="L88" s="628"/>
      <c r="M88" s="628"/>
      <c r="N88" s="627">
        <f t="shared" si="16"/>
        <v>77064000</v>
      </c>
      <c r="O88" s="630"/>
      <c r="P88" s="629">
        <f t="shared" si="17"/>
        <v>77064000</v>
      </c>
      <c r="Q88" s="630"/>
    </row>
    <row r="89" spans="1:17" s="28" customFormat="1" ht="19.899999999999999" customHeight="1" x14ac:dyDescent="0.3">
      <c r="A89" s="622">
        <v>28</v>
      </c>
      <c r="B89" s="623" t="s">
        <v>152</v>
      </c>
      <c r="C89" s="628">
        <v>4730000</v>
      </c>
      <c r="D89" s="628"/>
      <c r="E89" s="628"/>
      <c r="F89" s="628"/>
      <c r="G89" s="628"/>
      <c r="H89" s="628"/>
      <c r="I89" s="627">
        <f t="shared" si="13"/>
        <v>56760000</v>
      </c>
      <c r="J89" s="627">
        <f t="shared" si="14"/>
        <v>13338600</v>
      </c>
      <c r="K89" s="627">
        <f t="shared" si="9"/>
        <v>70098600</v>
      </c>
      <c r="L89" s="628"/>
      <c r="M89" s="628"/>
      <c r="N89" s="627">
        <f t="shared" si="16"/>
        <v>70098600</v>
      </c>
      <c r="O89" s="630"/>
      <c r="P89" s="629">
        <f t="shared" si="17"/>
        <v>70098600</v>
      </c>
      <c r="Q89" s="630"/>
    </row>
    <row r="90" spans="1:17" s="28" customFormat="1" ht="19.899999999999999" customHeight="1" x14ac:dyDescent="0.3">
      <c r="A90" s="622">
        <v>29</v>
      </c>
      <c r="B90" s="623" t="s">
        <v>153</v>
      </c>
      <c r="C90" s="628">
        <v>4730000</v>
      </c>
      <c r="D90" s="628"/>
      <c r="E90" s="628"/>
      <c r="F90" s="628"/>
      <c r="G90" s="628"/>
      <c r="H90" s="628"/>
      <c r="I90" s="627">
        <f t="shared" si="13"/>
        <v>56760000</v>
      </c>
      <c r="J90" s="627">
        <f t="shared" si="14"/>
        <v>13338600</v>
      </c>
      <c r="K90" s="627">
        <f t="shared" si="9"/>
        <v>70098600</v>
      </c>
      <c r="L90" s="628"/>
      <c r="M90" s="628"/>
      <c r="N90" s="627">
        <f t="shared" si="16"/>
        <v>70098600</v>
      </c>
      <c r="O90" s="630"/>
      <c r="P90" s="629">
        <f t="shared" si="17"/>
        <v>70098600</v>
      </c>
      <c r="Q90" s="630"/>
    </row>
    <row r="91" spans="1:17" s="28" customFormat="1" ht="19.899999999999999" customHeight="1" x14ac:dyDescent="0.3">
      <c r="A91" s="622">
        <v>30</v>
      </c>
      <c r="B91" s="623" t="s">
        <v>154</v>
      </c>
      <c r="C91" s="628">
        <v>5300000</v>
      </c>
      <c r="D91" s="628"/>
      <c r="E91" s="628"/>
      <c r="F91" s="628"/>
      <c r="G91" s="628"/>
      <c r="H91" s="628"/>
      <c r="I91" s="627">
        <f t="shared" si="13"/>
        <v>63600000</v>
      </c>
      <c r="J91" s="627">
        <f t="shared" si="14"/>
        <v>14946000</v>
      </c>
      <c r="K91" s="627">
        <f t="shared" si="9"/>
        <v>78546000</v>
      </c>
      <c r="L91" s="628"/>
      <c r="M91" s="628"/>
      <c r="N91" s="627">
        <f t="shared" si="16"/>
        <v>78546000</v>
      </c>
      <c r="O91" s="629"/>
      <c r="P91" s="630"/>
      <c r="Q91" s="629">
        <f>N91</f>
        <v>78546000</v>
      </c>
    </row>
    <row r="92" spans="1:17" s="28" customFormat="1" ht="19.899999999999999" customHeight="1" x14ac:dyDescent="0.3">
      <c r="A92" s="622">
        <v>31</v>
      </c>
      <c r="B92" s="623" t="s">
        <v>155</v>
      </c>
      <c r="C92" s="628">
        <v>9500000</v>
      </c>
      <c r="D92" s="628"/>
      <c r="E92" s="628"/>
      <c r="F92" s="628"/>
      <c r="G92" s="628"/>
      <c r="H92" s="628"/>
      <c r="I92" s="627">
        <f t="shared" si="13"/>
        <v>114000000</v>
      </c>
      <c r="J92" s="627">
        <f t="shared" si="14"/>
        <v>26790000</v>
      </c>
      <c r="K92" s="627">
        <f t="shared" si="9"/>
        <v>140790000</v>
      </c>
      <c r="L92" s="628"/>
      <c r="M92" s="628"/>
      <c r="N92" s="627">
        <f t="shared" si="16"/>
        <v>140790000</v>
      </c>
      <c r="O92" s="629"/>
      <c r="P92" s="630"/>
      <c r="Q92" s="629">
        <f t="shared" ref="Q92:Q106" si="18">N92</f>
        <v>140790000</v>
      </c>
    </row>
    <row r="93" spans="1:17" s="28" customFormat="1" ht="19.899999999999999" customHeight="1" x14ac:dyDescent="0.3">
      <c r="A93" s="622">
        <v>32</v>
      </c>
      <c r="B93" s="623" t="s">
        <v>156</v>
      </c>
      <c r="C93" s="628">
        <v>9200000</v>
      </c>
      <c r="D93" s="628"/>
      <c r="E93" s="628"/>
      <c r="F93" s="628"/>
      <c r="G93" s="628"/>
      <c r="H93" s="628"/>
      <c r="I93" s="627">
        <f t="shared" si="13"/>
        <v>110400000</v>
      </c>
      <c r="J93" s="627">
        <f t="shared" si="14"/>
        <v>25944000</v>
      </c>
      <c r="K93" s="627">
        <f t="shared" si="9"/>
        <v>136344000</v>
      </c>
      <c r="L93" s="628"/>
      <c r="M93" s="628"/>
      <c r="N93" s="627">
        <f t="shared" si="16"/>
        <v>136344000</v>
      </c>
      <c r="O93" s="629"/>
      <c r="P93" s="630"/>
      <c r="Q93" s="629">
        <f t="shared" si="18"/>
        <v>136344000</v>
      </c>
    </row>
    <row r="94" spans="1:17" s="28" customFormat="1" ht="19.899999999999999" customHeight="1" x14ac:dyDescent="0.3">
      <c r="A94" s="622">
        <v>33</v>
      </c>
      <c r="B94" s="623" t="s">
        <v>157</v>
      </c>
      <c r="C94" s="628">
        <v>6600000</v>
      </c>
      <c r="D94" s="636"/>
      <c r="E94" s="628"/>
      <c r="F94" s="628"/>
      <c r="G94" s="628"/>
      <c r="H94" s="628"/>
      <c r="I94" s="627">
        <f t="shared" si="13"/>
        <v>79200000</v>
      </c>
      <c r="J94" s="627">
        <f t="shared" si="14"/>
        <v>18612000</v>
      </c>
      <c r="K94" s="627">
        <f t="shared" si="9"/>
        <v>97812000</v>
      </c>
      <c r="L94" s="628"/>
      <c r="M94" s="628"/>
      <c r="N94" s="627">
        <f t="shared" si="16"/>
        <v>97812000</v>
      </c>
      <c r="O94" s="629"/>
      <c r="P94" s="630"/>
      <c r="Q94" s="629">
        <f t="shared" si="18"/>
        <v>97812000</v>
      </c>
    </row>
    <row r="95" spans="1:17" s="28" customFormat="1" ht="19.899999999999999" customHeight="1" x14ac:dyDescent="0.3">
      <c r="A95" s="622">
        <v>34</v>
      </c>
      <c r="B95" s="623" t="s">
        <v>158</v>
      </c>
      <c r="C95" s="628">
        <v>6600000</v>
      </c>
      <c r="D95" s="636"/>
      <c r="E95" s="628"/>
      <c r="F95" s="628"/>
      <c r="G95" s="628"/>
      <c r="H95" s="628"/>
      <c r="I95" s="627">
        <f t="shared" si="13"/>
        <v>79200000</v>
      </c>
      <c r="J95" s="627">
        <f t="shared" si="14"/>
        <v>18612000</v>
      </c>
      <c r="K95" s="627">
        <f t="shared" si="9"/>
        <v>97812000</v>
      </c>
      <c r="L95" s="628"/>
      <c r="M95" s="628"/>
      <c r="N95" s="627">
        <f t="shared" si="16"/>
        <v>97812000</v>
      </c>
      <c r="O95" s="629"/>
      <c r="P95" s="630"/>
      <c r="Q95" s="629">
        <f t="shared" si="18"/>
        <v>97812000</v>
      </c>
    </row>
    <row r="96" spans="1:17" s="28" customFormat="1" ht="19.899999999999999" customHeight="1" x14ac:dyDescent="0.3">
      <c r="A96" s="622">
        <v>35</v>
      </c>
      <c r="B96" s="623" t="s">
        <v>159</v>
      </c>
      <c r="C96" s="628">
        <v>8100000</v>
      </c>
      <c r="D96" s="628"/>
      <c r="E96" s="628"/>
      <c r="F96" s="628"/>
      <c r="G96" s="628"/>
      <c r="H96" s="628"/>
      <c r="I96" s="627">
        <f t="shared" si="13"/>
        <v>97200000</v>
      </c>
      <c r="J96" s="627">
        <f t="shared" si="14"/>
        <v>22842000</v>
      </c>
      <c r="K96" s="627">
        <f t="shared" si="9"/>
        <v>120042000</v>
      </c>
      <c r="L96" s="628"/>
      <c r="M96" s="628"/>
      <c r="N96" s="627">
        <f t="shared" si="16"/>
        <v>120042000</v>
      </c>
      <c r="O96" s="629">
        <f>N96</f>
        <v>120042000</v>
      </c>
      <c r="P96" s="630"/>
      <c r="Q96" s="629"/>
    </row>
    <row r="97" spans="1:17" s="28" customFormat="1" ht="19.899999999999999" customHeight="1" x14ac:dyDescent="0.3">
      <c r="A97" s="622">
        <v>36</v>
      </c>
      <c r="B97" s="623" t="s">
        <v>160</v>
      </c>
      <c r="C97" s="628">
        <v>4910000</v>
      </c>
      <c r="D97" s="628"/>
      <c r="E97" s="628"/>
      <c r="F97" s="628"/>
      <c r="G97" s="628"/>
      <c r="H97" s="628"/>
      <c r="I97" s="627">
        <f t="shared" si="13"/>
        <v>58920000</v>
      </c>
      <c r="J97" s="627">
        <f t="shared" si="14"/>
        <v>13846200</v>
      </c>
      <c r="K97" s="627">
        <f t="shared" si="9"/>
        <v>72766200</v>
      </c>
      <c r="L97" s="628"/>
      <c r="M97" s="628"/>
      <c r="N97" s="627">
        <f t="shared" si="16"/>
        <v>72766200</v>
      </c>
      <c r="O97" s="629"/>
      <c r="P97" s="630"/>
      <c r="Q97" s="629">
        <f t="shared" si="18"/>
        <v>72766200</v>
      </c>
    </row>
    <row r="98" spans="1:17" s="28" customFormat="1" ht="19.899999999999999" customHeight="1" x14ac:dyDescent="0.3">
      <c r="A98" s="622">
        <v>37</v>
      </c>
      <c r="B98" s="623" t="s">
        <v>161</v>
      </c>
      <c r="C98" s="628">
        <v>6600000</v>
      </c>
      <c r="D98" s="628"/>
      <c r="E98" s="628"/>
      <c r="F98" s="628"/>
      <c r="G98" s="628"/>
      <c r="H98" s="628"/>
      <c r="I98" s="627">
        <f t="shared" si="13"/>
        <v>79200000</v>
      </c>
      <c r="J98" s="627">
        <f t="shared" si="14"/>
        <v>18612000</v>
      </c>
      <c r="K98" s="627">
        <f t="shared" si="9"/>
        <v>97812000</v>
      </c>
      <c r="L98" s="628"/>
      <c r="M98" s="628"/>
      <c r="N98" s="627">
        <f t="shared" si="16"/>
        <v>97812000</v>
      </c>
      <c r="O98" s="629">
        <f>N98</f>
        <v>97812000</v>
      </c>
      <c r="P98" s="630"/>
      <c r="Q98" s="629"/>
    </row>
    <row r="99" spans="1:17" s="28" customFormat="1" ht="19.899999999999999" customHeight="1" x14ac:dyDescent="0.3">
      <c r="A99" s="622">
        <v>38</v>
      </c>
      <c r="B99" s="623" t="s">
        <v>162</v>
      </c>
      <c r="C99" s="628">
        <v>8100000</v>
      </c>
      <c r="D99" s="628"/>
      <c r="E99" s="628"/>
      <c r="F99" s="628"/>
      <c r="G99" s="628"/>
      <c r="H99" s="628"/>
      <c r="I99" s="627">
        <f t="shared" si="13"/>
        <v>97200000</v>
      </c>
      <c r="J99" s="627">
        <f t="shared" si="14"/>
        <v>22842000</v>
      </c>
      <c r="K99" s="627">
        <f t="shared" si="9"/>
        <v>120042000</v>
      </c>
      <c r="L99" s="628"/>
      <c r="M99" s="628"/>
      <c r="N99" s="627">
        <f t="shared" si="16"/>
        <v>120042000</v>
      </c>
      <c r="O99" s="629"/>
      <c r="P99" s="630"/>
      <c r="Q99" s="629">
        <f t="shared" si="18"/>
        <v>120042000</v>
      </c>
    </row>
    <row r="100" spans="1:17" s="28" customFormat="1" ht="19.899999999999999" customHeight="1" x14ac:dyDescent="0.3">
      <c r="A100" s="622">
        <v>39</v>
      </c>
      <c r="B100" s="623" t="s">
        <v>163</v>
      </c>
      <c r="C100" s="628">
        <v>7100000</v>
      </c>
      <c r="D100" s="628"/>
      <c r="E100" s="628"/>
      <c r="F100" s="628"/>
      <c r="G100" s="628"/>
      <c r="H100" s="628"/>
      <c r="I100" s="627">
        <f t="shared" si="13"/>
        <v>85200000</v>
      </c>
      <c r="J100" s="627">
        <f t="shared" si="14"/>
        <v>20022000</v>
      </c>
      <c r="K100" s="627">
        <f t="shared" si="9"/>
        <v>105222000</v>
      </c>
      <c r="L100" s="628"/>
      <c r="M100" s="628"/>
      <c r="N100" s="627">
        <f t="shared" si="16"/>
        <v>105222000</v>
      </c>
      <c r="O100" s="629"/>
      <c r="P100" s="630"/>
      <c r="Q100" s="629">
        <f t="shared" si="18"/>
        <v>105222000</v>
      </c>
    </row>
    <row r="101" spans="1:17" s="28" customFormat="1" ht="19.899999999999999" customHeight="1" x14ac:dyDescent="0.3">
      <c r="A101" s="622">
        <v>40</v>
      </c>
      <c r="B101" s="623" t="s">
        <v>164</v>
      </c>
      <c r="C101" s="628">
        <v>8000000</v>
      </c>
      <c r="D101" s="628"/>
      <c r="E101" s="628"/>
      <c r="F101" s="628"/>
      <c r="G101" s="628"/>
      <c r="H101" s="628"/>
      <c r="I101" s="627">
        <f t="shared" si="13"/>
        <v>96000000</v>
      </c>
      <c r="J101" s="627">
        <f t="shared" si="14"/>
        <v>22560000</v>
      </c>
      <c r="K101" s="627">
        <f t="shared" si="9"/>
        <v>118560000</v>
      </c>
      <c r="L101" s="628"/>
      <c r="M101" s="628"/>
      <c r="N101" s="627">
        <f t="shared" si="16"/>
        <v>118560000</v>
      </c>
      <c r="O101" s="629"/>
      <c r="P101" s="630"/>
      <c r="Q101" s="629">
        <f t="shared" si="18"/>
        <v>118560000</v>
      </c>
    </row>
    <row r="102" spans="1:17" s="28" customFormat="1" ht="19.899999999999999" customHeight="1" x14ac:dyDescent="0.3">
      <c r="A102" s="622">
        <v>41</v>
      </c>
      <c r="B102" s="623" t="s">
        <v>165</v>
      </c>
      <c r="C102" s="628">
        <v>7400000</v>
      </c>
      <c r="D102" s="636"/>
      <c r="E102" s="628"/>
      <c r="F102" s="628"/>
      <c r="G102" s="628"/>
      <c r="H102" s="628"/>
      <c r="I102" s="627">
        <f t="shared" si="13"/>
        <v>88800000</v>
      </c>
      <c r="J102" s="627">
        <f t="shared" si="14"/>
        <v>20868000</v>
      </c>
      <c r="K102" s="627">
        <f t="shared" si="9"/>
        <v>109668000</v>
      </c>
      <c r="L102" s="628"/>
      <c r="M102" s="628"/>
      <c r="N102" s="627">
        <f t="shared" si="16"/>
        <v>109668000</v>
      </c>
      <c r="O102" s="629"/>
      <c r="P102" s="630"/>
      <c r="Q102" s="629">
        <f t="shared" si="18"/>
        <v>109668000</v>
      </c>
    </row>
    <row r="103" spans="1:17" s="28" customFormat="1" ht="19.899999999999999" customHeight="1" x14ac:dyDescent="0.3">
      <c r="A103" s="622">
        <v>42</v>
      </c>
      <c r="B103" s="623" t="s">
        <v>166</v>
      </c>
      <c r="C103" s="628">
        <v>5000000</v>
      </c>
      <c r="D103" s="636"/>
      <c r="E103" s="628"/>
      <c r="F103" s="628"/>
      <c r="G103" s="628"/>
      <c r="H103" s="628"/>
      <c r="I103" s="627">
        <f t="shared" si="13"/>
        <v>60000000</v>
      </c>
      <c r="J103" s="627">
        <f t="shared" si="14"/>
        <v>14100000</v>
      </c>
      <c r="K103" s="627">
        <f t="shared" si="9"/>
        <v>74100000</v>
      </c>
      <c r="L103" s="628"/>
      <c r="M103" s="628"/>
      <c r="N103" s="627">
        <f t="shared" si="16"/>
        <v>74100000</v>
      </c>
      <c r="O103" s="629"/>
      <c r="P103" s="630"/>
      <c r="Q103" s="629">
        <f t="shared" si="18"/>
        <v>74100000</v>
      </c>
    </row>
    <row r="104" spans="1:17" s="28" customFormat="1" ht="19.899999999999999" customHeight="1" x14ac:dyDescent="0.3">
      <c r="A104" s="622">
        <v>43</v>
      </c>
      <c r="B104" s="623" t="s">
        <v>167</v>
      </c>
      <c r="C104" s="628">
        <v>6100000</v>
      </c>
      <c r="D104" s="628"/>
      <c r="E104" s="628"/>
      <c r="F104" s="628"/>
      <c r="G104" s="628"/>
      <c r="H104" s="628"/>
      <c r="I104" s="627">
        <f t="shared" si="13"/>
        <v>73200000</v>
      </c>
      <c r="J104" s="627">
        <f t="shared" si="14"/>
        <v>17202000</v>
      </c>
      <c r="K104" s="627">
        <f t="shared" si="9"/>
        <v>90402000</v>
      </c>
      <c r="L104" s="628"/>
      <c r="M104" s="628"/>
      <c r="N104" s="627">
        <f t="shared" si="16"/>
        <v>90402000</v>
      </c>
      <c r="O104" s="629"/>
      <c r="P104" s="630"/>
      <c r="Q104" s="629">
        <f t="shared" si="18"/>
        <v>90402000</v>
      </c>
    </row>
    <row r="105" spans="1:17" s="28" customFormat="1" ht="19.899999999999999" customHeight="1" x14ac:dyDescent="0.3">
      <c r="A105" s="622">
        <v>44</v>
      </c>
      <c r="B105" s="623" t="s">
        <v>168</v>
      </c>
      <c r="C105" s="628">
        <v>5700000</v>
      </c>
      <c r="D105" s="628"/>
      <c r="E105" s="628"/>
      <c r="F105" s="628"/>
      <c r="G105" s="628"/>
      <c r="H105" s="628"/>
      <c r="I105" s="627">
        <f t="shared" si="13"/>
        <v>68400000</v>
      </c>
      <c r="J105" s="627">
        <f t="shared" si="14"/>
        <v>16074000</v>
      </c>
      <c r="K105" s="627">
        <f t="shared" si="9"/>
        <v>84474000</v>
      </c>
      <c r="L105" s="628"/>
      <c r="M105" s="628"/>
      <c r="N105" s="627">
        <f t="shared" si="16"/>
        <v>84474000</v>
      </c>
      <c r="O105" s="629"/>
      <c r="P105" s="630"/>
      <c r="Q105" s="629">
        <f t="shared" si="18"/>
        <v>84474000</v>
      </c>
    </row>
    <row r="106" spans="1:17" s="28" customFormat="1" ht="19.899999999999999" customHeight="1" x14ac:dyDescent="0.3">
      <c r="A106" s="622">
        <v>45</v>
      </c>
      <c r="B106" s="623" t="s">
        <v>169</v>
      </c>
      <c r="C106" s="628">
        <v>8700000</v>
      </c>
      <c r="D106" s="628"/>
      <c r="E106" s="628"/>
      <c r="F106" s="628"/>
      <c r="G106" s="628"/>
      <c r="H106" s="628"/>
      <c r="I106" s="627">
        <f t="shared" si="13"/>
        <v>104400000</v>
      </c>
      <c r="J106" s="627">
        <f t="shared" si="14"/>
        <v>24534000</v>
      </c>
      <c r="K106" s="627">
        <f t="shared" si="9"/>
        <v>128934000</v>
      </c>
      <c r="L106" s="628"/>
      <c r="M106" s="628"/>
      <c r="N106" s="627">
        <f t="shared" si="16"/>
        <v>128934000</v>
      </c>
      <c r="O106" s="629"/>
      <c r="P106" s="630"/>
      <c r="Q106" s="629">
        <f t="shared" si="18"/>
        <v>128934000</v>
      </c>
    </row>
    <row r="107" spans="1:17" s="28" customFormat="1" ht="19.899999999999999" customHeight="1" x14ac:dyDescent="0.3">
      <c r="A107" s="622">
        <v>46</v>
      </c>
      <c r="B107" s="623" t="s">
        <v>170</v>
      </c>
      <c r="C107" s="628">
        <v>7950000</v>
      </c>
      <c r="D107" s="628"/>
      <c r="E107" s="628"/>
      <c r="F107" s="628"/>
      <c r="G107" s="628"/>
      <c r="H107" s="628"/>
      <c r="I107" s="627">
        <f t="shared" si="13"/>
        <v>95400000</v>
      </c>
      <c r="J107" s="627">
        <f t="shared" si="14"/>
        <v>22419000</v>
      </c>
      <c r="K107" s="627">
        <f t="shared" si="9"/>
        <v>117819000</v>
      </c>
      <c r="L107" s="628"/>
      <c r="M107" s="628">
        <v>450000</v>
      </c>
      <c r="N107" s="627">
        <f t="shared" si="16"/>
        <v>118269000</v>
      </c>
      <c r="O107" s="629">
        <f>N107</f>
        <v>118269000</v>
      </c>
      <c r="P107" s="629"/>
      <c r="Q107" s="630"/>
    </row>
    <row r="108" spans="1:17" s="28" customFormat="1" ht="19.899999999999999" customHeight="1" x14ac:dyDescent="0.3">
      <c r="A108" s="622">
        <v>47</v>
      </c>
      <c r="B108" s="623" t="s">
        <v>171</v>
      </c>
      <c r="C108" s="628">
        <v>7950000</v>
      </c>
      <c r="D108" s="628"/>
      <c r="E108" s="628"/>
      <c r="F108" s="628"/>
      <c r="G108" s="628"/>
      <c r="H108" s="628"/>
      <c r="I108" s="627">
        <f t="shared" si="13"/>
        <v>95400000</v>
      </c>
      <c r="J108" s="627">
        <f t="shared" si="14"/>
        <v>22419000</v>
      </c>
      <c r="K108" s="627">
        <f t="shared" si="9"/>
        <v>117819000</v>
      </c>
      <c r="L108" s="628"/>
      <c r="M108" s="628">
        <v>450000</v>
      </c>
      <c r="N108" s="627">
        <f t="shared" si="16"/>
        <v>118269000</v>
      </c>
      <c r="O108" s="629">
        <f t="shared" ref="O108:O117" si="19">N108</f>
        <v>118269000</v>
      </c>
      <c r="P108" s="629"/>
      <c r="Q108" s="630"/>
    </row>
    <row r="109" spans="1:17" s="28" customFormat="1" ht="19.899999999999999" customHeight="1" x14ac:dyDescent="0.3">
      <c r="A109" s="622">
        <v>48</v>
      </c>
      <c r="B109" s="623" t="s">
        <v>172</v>
      </c>
      <c r="C109" s="628">
        <v>7950000</v>
      </c>
      <c r="D109" s="628"/>
      <c r="E109" s="628"/>
      <c r="F109" s="628"/>
      <c r="G109" s="628"/>
      <c r="H109" s="628"/>
      <c r="I109" s="627">
        <f t="shared" si="13"/>
        <v>95400000</v>
      </c>
      <c r="J109" s="627">
        <f t="shared" si="14"/>
        <v>22419000</v>
      </c>
      <c r="K109" s="627">
        <f t="shared" si="9"/>
        <v>117819000</v>
      </c>
      <c r="L109" s="628"/>
      <c r="M109" s="628">
        <v>450000</v>
      </c>
      <c r="N109" s="627">
        <f t="shared" si="16"/>
        <v>118269000</v>
      </c>
      <c r="O109" s="629">
        <f t="shared" si="19"/>
        <v>118269000</v>
      </c>
      <c r="P109" s="629"/>
      <c r="Q109" s="630"/>
    </row>
    <row r="110" spans="1:17" s="28" customFormat="1" ht="19.899999999999999" customHeight="1" x14ac:dyDescent="0.3">
      <c r="A110" s="622">
        <v>49</v>
      </c>
      <c r="B110" s="623" t="s">
        <v>173</v>
      </c>
      <c r="C110" s="628">
        <v>7950000</v>
      </c>
      <c r="D110" s="636"/>
      <c r="E110" s="628"/>
      <c r="F110" s="628"/>
      <c r="G110" s="628"/>
      <c r="H110" s="628"/>
      <c r="I110" s="627">
        <f t="shared" si="13"/>
        <v>95400000</v>
      </c>
      <c r="J110" s="627">
        <f t="shared" si="14"/>
        <v>22419000</v>
      </c>
      <c r="K110" s="627">
        <f t="shared" si="9"/>
        <v>117819000</v>
      </c>
      <c r="L110" s="628"/>
      <c r="M110" s="628">
        <v>450000</v>
      </c>
      <c r="N110" s="627">
        <f t="shared" si="16"/>
        <v>118269000</v>
      </c>
      <c r="O110" s="629">
        <f t="shared" si="19"/>
        <v>118269000</v>
      </c>
      <c r="P110" s="629"/>
      <c r="Q110" s="630"/>
    </row>
    <row r="111" spans="1:17" s="28" customFormat="1" ht="19.899999999999999" customHeight="1" x14ac:dyDescent="0.3">
      <c r="A111" s="622">
        <v>50</v>
      </c>
      <c r="B111" s="623" t="s">
        <v>174</v>
      </c>
      <c r="C111" s="628">
        <v>7950000</v>
      </c>
      <c r="D111" s="636"/>
      <c r="E111" s="628"/>
      <c r="F111" s="628"/>
      <c r="G111" s="628"/>
      <c r="H111" s="628"/>
      <c r="I111" s="627">
        <f t="shared" si="13"/>
        <v>95400000</v>
      </c>
      <c r="J111" s="627">
        <f t="shared" si="14"/>
        <v>22419000</v>
      </c>
      <c r="K111" s="627">
        <f t="shared" ref="K111:K152" si="20">J111+I111</f>
        <v>117819000</v>
      </c>
      <c r="L111" s="628"/>
      <c r="M111" s="628">
        <v>450000</v>
      </c>
      <c r="N111" s="627">
        <f t="shared" si="16"/>
        <v>118269000</v>
      </c>
      <c r="O111" s="629">
        <f t="shared" si="19"/>
        <v>118269000</v>
      </c>
      <c r="P111" s="629"/>
      <c r="Q111" s="630"/>
    </row>
    <row r="112" spans="1:17" s="28" customFormat="1" ht="19.899999999999999" customHeight="1" x14ac:dyDescent="0.3">
      <c r="A112" s="622">
        <v>51</v>
      </c>
      <c r="B112" s="623" t="s">
        <v>175</v>
      </c>
      <c r="C112" s="628">
        <v>7950000</v>
      </c>
      <c r="D112" s="628"/>
      <c r="E112" s="628"/>
      <c r="F112" s="628"/>
      <c r="G112" s="628"/>
      <c r="H112" s="628"/>
      <c r="I112" s="627">
        <f t="shared" si="13"/>
        <v>95400000</v>
      </c>
      <c r="J112" s="627">
        <f t="shared" si="14"/>
        <v>22419000</v>
      </c>
      <c r="K112" s="627">
        <f t="shared" si="20"/>
        <v>117819000</v>
      </c>
      <c r="L112" s="628"/>
      <c r="M112" s="628">
        <v>450000</v>
      </c>
      <c r="N112" s="627">
        <f t="shared" si="16"/>
        <v>118269000</v>
      </c>
      <c r="O112" s="629">
        <f t="shared" si="19"/>
        <v>118269000</v>
      </c>
      <c r="P112" s="629"/>
      <c r="Q112" s="630"/>
    </row>
    <row r="113" spans="1:17" s="28" customFormat="1" ht="19.899999999999999" customHeight="1" x14ac:dyDescent="0.3">
      <c r="A113" s="622">
        <v>52</v>
      </c>
      <c r="B113" s="623" t="s">
        <v>176</v>
      </c>
      <c r="C113" s="628">
        <v>7950000</v>
      </c>
      <c r="D113" s="628"/>
      <c r="E113" s="628"/>
      <c r="F113" s="628"/>
      <c r="G113" s="628"/>
      <c r="H113" s="628"/>
      <c r="I113" s="627">
        <f t="shared" si="13"/>
        <v>95400000</v>
      </c>
      <c r="J113" s="627">
        <f t="shared" si="14"/>
        <v>22419000</v>
      </c>
      <c r="K113" s="627">
        <f t="shared" si="20"/>
        <v>117819000</v>
      </c>
      <c r="L113" s="628"/>
      <c r="M113" s="628">
        <v>450000</v>
      </c>
      <c r="N113" s="627">
        <f t="shared" si="16"/>
        <v>118269000</v>
      </c>
      <c r="O113" s="629">
        <f t="shared" si="19"/>
        <v>118269000</v>
      </c>
      <c r="P113" s="629"/>
      <c r="Q113" s="630"/>
    </row>
    <row r="114" spans="1:17" s="28" customFormat="1" ht="19.899999999999999" customHeight="1" x14ac:dyDescent="0.3">
      <c r="A114" s="622">
        <v>53</v>
      </c>
      <c r="B114" s="623" t="s">
        <v>177</v>
      </c>
      <c r="C114" s="628">
        <v>7950000</v>
      </c>
      <c r="D114" s="628"/>
      <c r="E114" s="628"/>
      <c r="F114" s="628"/>
      <c r="G114" s="628"/>
      <c r="H114" s="628"/>
      <c r="I114" s="627">
        <f t="shared" si="13"/>
        <v>95400000</v>
      </c>
      <c r="J114" s="627">
        <f t="shared" si="14"/>
        <v>22419000</v>
      </c>
      <c r="K114" s="627">
        <f t="shared" si="20"/>
        <v>117819000</v>
      </c>
      <c r="L114" s="628"/>
      <c r="M114" s="628">
        <v>450000</v>
      </c>
      <c r="N114" s="627">
        <f t="shared" si="16"/>
        <v>118269000</v>
      </c>
      <c r="O114" s="629">
        <f t="shared" si="19"/>
        <v>118269000</v>
      </c>
      <c r="P114" s="629"/>
      <c r="Q114" s="630"/>
    </row>
    <row r="115" spans="1:17" s="28" customFormat="1" ht="19.899999999999999" customHeight="1" x14ac:dyDescent="0.3">
      <c r="A115" s="622">
        <v>54</v>
      </c>
      <c r="B115" s="623" t="s">
        <v>178</v>
      </c>
      <c r="C115" s="628">
        <v>7950000</v>
      </c>
      <c r="D115" s="628"/>
      <c r="E115" s="628"/>
      <c r="F115" s="628"/>
      <c r="G115" s="628"/>
      <c r="H115" s="628"/>
      <c r="I115" s="627">
        <f t="shared" si="13"/>
        <v>95400000</v>
      </c>
      <c r="J115" s="627">
        <f t="shared" si="14"/>
        <v>22419000</v>
      </c>
      <c r="K115" s="627">
        <f t="shared" si="20"/>
        <v>117819000</v>
      </c>
      <c r="L115" s="628"/>
      <c r="M115" s="628">
        <v>450000</v>
      </c>
      <c r="N115" s="627">
        <f t="shared" si="16"/>
        <v>118269000</v>
      </c>
      <c r="O115" s="629">
        <f t="shared" si="19"/>
        <v>118269000</v>
      </c>
      <c r="P115" s="629"/>
      <c r="Q115" s="630"/>
    </row>
    <row r="116" spans="1:17" s="28" customFormat="1" ht="19.899999999999999" customHeight="1" x14ac:dyDescent="0.3">
      <c r="A116" s="622">
        <v>55</v>
      </c>
      <c r="B116" s="623" t="s">
        <v>179</v>
      </c>
      <c r="C116" s="628">
        <v>5975000</v>
      </c>
      <c r="D116" s="628"/>
      <c r="E116" s="628"/>
      <c r="F116" s="628"/>
      <c r="G116" s="628"/>
      <c r="H116" s="628"/>
      <c r="I116" s="627">
        <f t="shared" si="13"/>
        <v>71700000</v>
      </c>
      <c r="J116" s="627">
        <f t="shared" si="14"/>
        <v>16849500</v>
      </c>
      <c r="K116" s="627">
        <f t="shared" si="20"/>
        <v>88549500</v>
      </c>
      <c r="L116" s="628"/>
      <c r="M116" s="628"/>
      <c r="N116" s="627">
        <f t="shared" si="16"/>
        <v>88549500</v>
      </c>
      <c r="O116" s="629">
        <f>N116</f>
        <v>88549500</v>
      </c>
      <c r="P116" s="629"/>
      <c r="Q116" s="630"/>
    </row>
    <row r="117" spans="1:17" s="28" customFormat="1" ht="31.5" customHeight="1" x14ac:dyDescent="0.3">
      <c r="A117" s="622">
        <v>56</v>
      </c>
      <c r="B117" s="623" t="s">
        <v>180</v>
      </c>
      <c r="C117" s="628">
        <v>4730000</v>
      </c>
      <c r="D117" s="628"/>
      <c r="E117" s="628"/>
      <c r="F117" s="628"/>
      <c r="G117" s="628"/>
      <c r="H117" s="628"/>
      <c r="I117" s="627">
        <f t="shared" si="13"/>
        <v>56760000</v>
      </c>
      <c r="J117" s="627">
        <f t="shared" si="14"/>
        <v>13338600</v>
      </c>
      <c r="K117" s="627">
        <f t="shared" si="20"/>
        <v>70098600</v>
      </c>
      <c r="L117" s="628"/>
      <c r="M117" s="628"/>
      <c r="N117" s="627">
        <f t="shared" si="16"/>
        <v>70098600</v>
      </c>
      <c r="O117" s="629">
        <f t="shared" si="19"/>
        <v>70098600</v>
      </c>
      <c r="P117" s="629"/>
      <c r="Q117" s="630"/>
    </row>
    <row r="118" spans="1:17" s="27" customFormat="1" ht="19.899999999999999" customHeight="1" x14ac:dyDescent="0.3">
      <c r="A118" s="617" t="s">
        <v>3</v>
      </c>
      <c r="B118" s="618" t="s">
        <v>181</v>
      </c>
      <c r="C118" s="621">
        <f t="shared" ref="C118:G118" si="21">SUBTOTAL(9,C119:C152)</f>
        <v>123300000</v>
      </c>
      <c r="D118" s="621">
        <f t="shared" si="21"/>
        <v>0</v>
      </c>
      <c r="E118" s="621">
        <f t="shared" si="21"/>
        <v>0</v>
      </c>
      <c r="F118" s="621">
        <f t="shared" si="21"/>
        <v>0</v>
      </c>
      <c r="G118" s="621">
        <f t="shared" si="21"/>
        <v>0</v>
      </c>
      <c r="H118" s="621"/>
      <c r="I118" s="639">
        <f>SUBTOTAL(9,I119:I152)</f>
        <v>1479600000</v>
      </c>
      <c r="J118" s="640">
        <f t="shared" ref="J118:M118" si="22">SUBTOTAL(9,J119:J152)</f>
        <v>0</v>
      </c>
      <c r="K118" s="639">
        <f t="shared" si="22"/>
        <v>1479600000</v>
      </c>
      <c r="L118" s="640">
        <f t="shared" si="22"/>
        <v>0</v>
      </c>
      <c r="M118" s="640">
        <f t="shared" si="22"/>
        <v>0</v>
      </c>
      <c r="N118" s="639">
        <f>SUM(N119:N152)</f>
        <v>1479600000</v>
      </c>
      <c r="O118" s="639">
        <f>SUM(O119:O152)</f>
        <v>632400000</v>
      </c>
      <c r="P118" s="639">
        <f t="shared" ref="P118:Q118" si="23">SUM(P119:P152)</f>
        <v>588000000</v>
      </c>
      <c r="Q118" s="639">
        <f t="shared" si="23"/>
        <v>259200000</v>
      </c>
    </row>
    <row r="119" spans="1:17" s="28" customFormat="1" ht="19.899999999999999" customHeight="1" x14ac:dyDescent="0.3">
      <c r="A119" s="622">
        <v>1</v>
      </c>
      <c r="B119" s="641" t="s">
        <v>182</v>
      </c>
      <c r="C119" s="642">
        <v>3100000</v>
      </c>
      <c r="D119" s="628"/>
      <c r="E119" s="628"/>
      <c r="F119" s="628"/>
      <c r="G119" s="628"/>
      <c r="H119" s="628"/>
      <c r="I119" s="628">
        <f t="shared" ref="I119:I152" si="24">(C119+D119)*12+ (L119+M119)*12</f>
        <v>37200000</v>
      </c>
      <c r="J119" s="628"/>
      <c r="K119" s="627">
        <f t="shared" si="20"/>
        <v>37200000</v>
      </c>
      <c r="L119" s="628"/>
      <c r="M119" s="628"/>
      <c r="N119" s="627">
        <f t="shared" si="16"/>
        <v>37200000</v>
      </c>
      <c r="O119" s="629">
        <f t="shared" ref="O119:O127" si="25">N119</f>
        <v>37200000</v>
      </c>
      <c r="P119" s="629"/>
      <c r="Q119" s="630"/>
    </row>
    <row r="120" spans="1:17" s="28" customFormat="1" ht="19.899999999999999" customHeight="1" x14ac:dyDescent="0.3">
      <c r="A120" s="622">
        <v>2</v>
      </c>
      <c r="B120" s="641" t="s">
        <v>183</v>
      </c>
      <c r="C120" s="642">
        <v>3100000</v>
      </c>
      <c r="D120" s="622"/>
      <c r="E120" s="626"/>
      <c r="F120" s="626"/>
      <c r="G120" s="626"/>
      <c r="H120" s="626"/>
      <c r="I120" s="628">
        <f t="shared" si="24"/>
        <v>37200000</v>
      </c>
      <c r="J120" s="627"/>
      <c r="K120" s="627">
        <f t="shared" si="20"/>
        <v>37200000</v>
      </c>
      <c r="L120" s="626"/>
      <c r="M120" s="628"/>
      <c r="N120" s="627">
        <f t="shared" si="16"/>
        <v>37200000</v>
      </c>
      <c r="O120" s="629">
        <f t="shared" si="25"/>
        <v>37200000</v>
      </c>
      <c r="P120" s="629"/>
      <c r="Q120" s="630"/>
    </row>
    <row r="121" spans="1:17" s="28" customFormat="1" ht="19.899999999999999" customHeight="1" x14ac:dyDescent="0.3">
      <c r="A121" s="622">
        <v>3</v>
      </c>
      <c r="B121" s="641" t="s">
        <v>184</v>
      </c>
      <c r="C121" s="642">
        <v>3100000</v>
      </c>
      <c r="D121" s="622"/>
      <c r="E121" s="626"/>
      <c r="F121" s="626"/>
      <c r="G121" s="626"/>
      <c r="H121" s="626"/>
      <c r="I121" s="628">
        <f t="shared" si="24"/>
        <v>37200000</v>
      </c>
      <c r="J121" s="627"/>
      <c r="K121" s="627">
        <f t="shared" si="20"/>
        <v>37200000</v>
      </c>
      <c r="L121" s="626"/>
      <c r="M121" s="628"/>
      <c r="N121" s="627">
        <f t="shared" si="16"/>
        <v>37200000</v>
      </c>
      <c r="O121" s="629">
        <f t="shared" si="25"/>
        <v>37200000</v>
      </c>
      <c r="P121" s="629"/>
      <c r="Q121" s="630"/>
    </row>
    <row r="122" spans="1:17" s="28" customFormat="1" ht="19.899999999999999" customHeight="1" x14ac:dyDescent="0.3">
      <c r="A122" s="622">
        <v>4</v>
      </c>
      <c r="B122" s="641" t="s">
        <v>185</v>
      </c>
      <c r="C122" s="642">
        <v>3100000</v>
      </c>
      <c r="D122" s="622"/>
      <c r="E122" s="626"/>
      <c r="F122" s="626"/>
      <c r="G122" s="626"/>
      <c r="H122" s="626"/>
      <c r="I122" s="628">
        <f t="shared" si="24"/>
        <v>37200000</v>
      </c>
      <c r="J122" s="627"/>
      <c r="K122" s="627">
        <f t="shared" si="20"/>
        <v>37200000</v>
      </c>
      <c r="L122" s="626"/>
      <c r="M122" s="628"/>
      <c r="N122" s="627">
        <f t="shared" si="16"/>
        <v>37200000</v>
      </c>
      <c r="O122" s="629">
        <f t="shared" si="25"/>
        <v>37200000</v>
      </c>
      <c r="P122" s="629"/>
      <c r="Q122" s="630"/>
    </row>
    <row r="123" spans="1:17" s="28" customFormat="1" ht="19.899999999999999" customHeight="1" x14ac:dyDescent="0.3">
      <c r="A123" s="622">
        <v>5</v>
      </c>
      <c r="B123" s="641" t="s">
        <v>186</v>
      </c>
      <c r="C123" s="642">
        <v>3100000</v>
      </c>
      <c r="D123" s="622"/>
      <c r="E123" s="626"/>
      <c r="F123" s="626"/>
      <c r="G123" s="626"/>
      <c r="H123" s="626"/>
      <c r="I123" s="628">
        <f t="shared" si="24"/>
        <v>37200000</v>
      </c>
      <c r="J123" s="627"/>
      <c r="K123" s="627">
        <f t="shared" si="20"/>
        <v>37200000</v>
      </c>
      <c r="L123" s="626"/>
      <c r="M123" s="628"/>
      <c r="N123" s="627">
        <f t="shared" si="16"/>
        <v>37200000</v>
      </c>
      <c r="O123" s="629">
        <f t="shared" si="25"/>
        <v>37200000</v>
      </c>
      <c r="P123" s="629"/>
      <c r="Q123" s="630"/>
    </row>
    <row r="124" spans="1:17" s="28" customFormat="1" ht="19.899999999999999" customHeight="1" x14ac:dyDescent="0.3">
      <c r="A124" s="622">
        <v>6</v>
      </c>
      <c r="B124" s="641" t="s">
        <v>187</v>
      </c>
      <c r="C124" s="642">
        <v>3100000</v>
      </c>
      <c r="D124" s="622"/>
      <c r="E124" s="626"/>
      <c r="F124" s="626"/>
      <c r="G124" s="626"/>
      <c r="H124" s="626"/>
      <c r="I124" s="628">
        <f t="shared" si="24"/>
        <v>37200000</v>
      </c>
      <c r="J124" s="627"/>
      <c r="K124" s="627">
        <f t="shared" si="20"/>
        <v>37200000</v>
      </c>
      <c r="L124" s="626"/>
      <c r="M124" s="628"/>
      <c r="N124" s="627">
        <f t="shared" si="16"/>
        <v>37200000</v>
      </c>
      <c r="O124" s="629">
        <f t="shared" si="25"/>
        <v>37200000</v>
      </c>
      <c r="P124" s="629"/>
      <c r="Q124" s="630"/>
    </row>
    <row r="125" spans="1:17" s="28" customFormat="1" ht="19.899999999999999" customHeight="1" x14ac:dyDescent="0.3">
      <c r="A125" s="622">
        <v>7</v>
      </c>
      <c r="B125" s="641" t="s">
        <v>188</v>
      </c>
      <c r="C125" s="642">
        <v>3100000</v>
      </c>
      <c r="D125" s="622"/>
      <c r="E125" s="626"/>
      <c r="F125" s="626"/>
      <c r="G125" s="626"/>
      <c r="H125" s="626"/>
      <c r="I125" s="628">
        <f t="shared" si="24"/>
        <v>37200000</v>
      </c>
      <c r="J125" s="627"/>
      <c r="K125" s="627">
        <f t="shared" si="20"/>
        <v>37200000</v>
      </c>
      <c r="L125" s="626"/>
      <c r="M125" s="628"/>
      <c r="N125" s="627">
        <f t="shared" si="16"/>
        <v>37200000</v>
      </c>
      <c r="O125" s="629">
        <f t="shared" si="25"/>
        <v>37200000</v>
      </c>
      <c r="P125" s="629"/>
      <c r="Q125" s="630"/>
    </row>
    <row r="126" spans="1:17" s="28" customFormat="1" ht="19.899999999999999" customHeight="1" x14ac:dyDescent="0.3">
      <c r="A126" s="622">
        <v>8</v>
      </c>
      <c r="B126" s="641" t="s">
        <v>189</v>
      </c>
      <c r="C126" s="642">
        <v>3100000</v>
      </c>
      <c r="D126" s="622"/>
      <c r="E126" s="626"/>
      <c r="F126" s="626"/>
      <c r="G126" s="626"/>
      <c r="H126" s="626"/>
      <c r="I126" s="628">
        <f t="shared" si="24"/>
        <v>37200000</v>
      </c>
      <c r="J126" s="627"/>
      <c r="K126" s="627">
        <f t="shared" si="20"/>
        <v>37200000</v>
      </c>
      <c r="L126" s="626"/>
      <c r="M126" s="628"/>
      <c r="N126" s="627">
        <f t="shared" si="16"/>
        <v>37200000</v>
      </c>
      <c r="O126" s="629">
        <f t="shared" si="25"/>
        <v>37200000</v>
      </c>
      <c r="P126" s="629"/>
      <c r="Q126" s="630"/>
    </row>
    <row r="127" spans="1:17" s="28" customFormat="1" ht="19.899999999999999" customHeight="1" x14ac:dyDescent="0.3">
      <c r="A127" s="622">
        <v>9</v>
      </c>
      <c r="B127" s="641" t="s">
        <v>190</v>
      </c>
      <c r="C127" s="642">
        <v>3100000</v>
      </c>
      <c r="D127" s="622"/>
      <c r="E127" s="626"/>
      <c r="F127" s="626"/>
      <c r="G127" s="626"/>
      <c r="H127" s="626"/>
      <c r="I127" s="628">
        <f t="shared" si="24"/>
        <v>37200000</v>
      </c>
      <c r="J127" s="627"/>
      <c r="K127" s="627">
        <f t="shared" si="20"/>
        <v>37200000</v>
      </c>
      <c r="L127" s="626"/>
      <c r="M127" s="628"/>
      <c r="N127" s="627">
        <f t="shared" si="16"/>
        <v>37200000</v>
      </c>
      <c r="O127" s="629">
        <f t="shared" si="25"/>
        <v>37200000</v>
      </c>
      <c r="P127" s="629"/>
      <c r="Q127" s="630"/>
    </row>
    <row r="128" spans="1:17" s="28" customFormat="1" ht="19.899999999999999" customHeight="1" x14ac:dyDescent="0.3">
      <c r="A128" s="622">
        <v>10</v>
      </c>
      <c r="B128" s="641" t="s">
        <v>191</v>
      </c>
      <c r="C128" s="642">
        <v>3100000</v>
      </c>
      <c r="D128" s="622"/>
      <c r="E128" s="626"/>
      <c r="F128" s="626"/>
      <c r="G128" s="626"/>
      <c r="H128" s="626"/>
      <c r="I128" s="628">
        <f t="shared" si="24"/>
        <v>37200000</v>
      </c>
      <c r="J128" s="627"/>
      <c r="K128" s="627">
        <f t="shared" si="20"/>
        <v>37200000</v>
      </c>
      <c r="L128" s="626"/>
      <c r="M128" s="628"/>
      <c r="N128" s="627">
        <f t="shared" si="16"/>
        <v>37200000</v>
      </c>
      <c r="O128" s="629"/>
      <c r="P128" s="629"/>
      <c r="Q128" s="629">
        <f>N128</f>
        <v>37200000</v>
      </c>
    </row>
    <row r="129" spans="1:17" s="28" customFormat="1" ht="19.899999999999999" customHeight="1" x14ac:dyDescent="0.3">
      <c r="A129" s="622">
        <v>11</v>
      </c>
      <c r="B129" s="643" t="s">
        <v>192</v>
      </c>
      <c r="C129" s="642">
        <v>3100000</v>
      </c>
      <c r="D129" s="622"/>
      <c r="E129" s="626"/>
      <c r="F129" s="626"/>
      <c r="G129" s="626"/>
      <c r="H129" s="626"/>
      <c r="I129" s="628">
        <f t="shared" si="24"/>
        <v>37200000</v>
      </c>
      <c r="J129" s="627"/>
      <c r="K129" s="627">
        <f t="shared" si="20"/>
        <v>37200000</v>
      </c>
      <c r="L129" s="626"/>
      <c r="M129" s="628"/>
      <c r="N129" s="627">
        <f t="shared" si="16"/>
        <v>37200000</v>
      </c>
      <c r="O129" s="629">
        <f t="shared" ref="O129:O136" si="26">N129</f>
        <v>37200000</v>
      </c>
      <c r="P129" s="630"/>
      <c r="Q129" s="630"/>
    </row>
    <row r="130" spans="1:17" s="28" customFormat="1" ht="19.899999999999999" customHeight="1" x14ac:dyDescent="0.3">
      <c r="A130" s="622">
        <v>12</v>
      </c>
      <c r="B130" s="643" t="s">
        <v>193</v>
      </c>
      <c r="C130" s="642">
        <v>3100000</v>
      </c>
      <c r="D130" s="622"/>
      <c r="E130" s="626"/>
      <c r="F130" s="626"/>
      <c r="G130" s="626"/>
      <c r="H130" s="626"/>
      <c r="I130" s="628">
        <f t="shared" si="24"/>
        <v>37200000</v>
      </c>
      <c r="J130" s="627"/>
      <c r="K130" s="627">
        <f t="shared" si="20"/>
        <v>37200000</v>
      </c>
      <c r="L130" s="626"/>
      <c r="M130" s="628"/>
      <c r="N130" s="627">
        <f t="shared" si="16"/>
        <v>37200000</v>
      </c>
      <c r="O130" s="629">
        <f t="shared" si="26"/>
        <v>37200000</v>
      </c>
      <c r="P130" s="630"/>
      <c r="Q130" s="630"/>
    </row>
    <row r="131" spans="1:17" s="28" customFormat="1" ht="19.899999999999999" customHeight="1" x14ac:dyDescent="0.3">
      <c r="A131" s="622">
        <v>13</v>
      </c>
      <c r="B131" s="643" t="s">
        <v>194</v>
      </c>
      <c r="C131" s="642">
        <v>3100000</v>
      </c>
      <c r="D131" s="622"/>
      <c r="E131" s="626"/>
      <c r="F131" s="626"/>
      <c r="G131" s="626"/>
      <c r="H131" s="626"/>
      <c r="I131" s="628">
        <f t="shared" si="24"/>
        <v>37200000</v>
      </c>
      <c r="J131" s="627"/>
      <c r="K131" s="627">
        <f t="shared" si="20"/>
        <v>37200000</v>
      </c>
      <c r="L131" s="626"/>
      <c r="M131" s="628"/>
      <c r="N131" s="627">
        <f t="shared" si="16"/>
        <v>37200000</v>
      </c>
      <c r="O131" s="629">
        <f t="shared" si="26"/>
        <v>37200000</v>
      </c>
      <c r="P131" s="630"/>
      <c r="Q131" s="630"/>
    </row>
    <row r="132" spans="1:17" s="28" customFormat="1" ht="19.899999999999999" customHeight="1" x14ac:dyDescent="0.3">
      <c r="A132" s="622">
        <v>14</v>
      </c>
      <c r="B132" s="643" t="s">
        <v>195</v>
      </c>
      <c r="C132" s="642">
        <v>3100000</v>
      </c>
      <c r="D132" s="622"/>
      <c r="E132" s="626"/>
      <c r="F132" s="626"/>
      <c r="G132" s="626"/>
      <c r="H132" s="626"/>
      <c r="I132" s="628">
        <f t="shared" si="24"/>
        <v>37200000</v>
      </c>
      <c r="J132" s="627"/>
      <c r="K132" s="627">
        <f t="shared" si="20"/>
        <v>37200000</v>
      </c>
      <c r="L132" s="626"/>
      <c r="M132" s="628"/>
      <c r="N132" s="627">
        <f t="shared" si="16"/>
        <v>37200000</v>
      </c>
      <c r="O132" s="629">
        <f t="shared" si="26"/>
        <v>37200000</v>
      </c>
      <c r="P132" s="630"/>
      <c r="Q132" s="630"/>
    </row>
    <row r="133" spans="1:17" s="28" customFormat="1" ht="19.899999999999999" customHeight="1" x14ac:dyDescent="0.3">
      <c r="A133" s="622">
        <v>15</v>
      </c>
      <c r="B133" s="643" t="s">
        <v>196</v>
      </c>
      <c r="C133" s="642">
        <v>3100000</v>
      </c>
      <c r="D133" s="622"/>
      <c r="E133" s="626"/>
      <c r="F133" s="626"/>
      <c r="G133" s="626"/>
      <c r="H133" s="626"/>
      <c r="I133" s="628">
        <f t="shared" si="24"/>
        <v>37200000</v>
      </c>
      <c r="J133" s="627"/>
      <c r="K133" s="627">
        <f t="shared" si="20"/>
        <v>37200000</v>
      </c>
      <c r="L133" s="626"/>
      <c r="M133" s="628"/>
      <c r="N133" s="627">
        <f t="shared" si="16"/>
        <v>37200000</v>
      </c>
      <c r="O133" s="629">
        <f t="shared" si="26"/>
        <v>37200000</v>
      </c>
      <c r="P133" s="630"/>
      <c r="Q133" s="630"/>
    </row>
    <row r="134" spans="1:17" s="28" customFormat="1" ht="19.899999999999999" customHeight="1" x14ac:dyDescent="0.3">
      <c r="A134" s="622">
        <v>16</v>
      </c>
      <c r="B134" s="643" t="s">
        <v>197</v>
      </c>
      <c r="C134" s="642">
        <v>3100000</v>
      </c>
      <c r="D134" s="622"/>
      <c r="E134" s="626"/>
      <c r="F134" s="626"/>
      <c r="G134" s="626"/>
      <c r="H134" s="626"/>
      <c r="I134" s="628">
        <f t="shared" si="24"/>
        <v>37200000</v>
      </c>
      <c r="J134" s="627"/>
      <c r="K134" s="627">
        <f t="shared" si="20"/>
        <v>37200000</v>
      </c>
      <c r="L134" s="626"/>
      <c r="M134" s="628"/>
      <c r="N134" s="627">
        <f t="shared" si="16"/>
        <v>37200000</v>
      </c>
      <c r="O134" s="629">
        <f t="shared" si="26"/>
        <v>37200000</v>
      </c>
      <c r="P134" s="630"/>
      <c r="Q134" s="630"/>
    </row>
    <row r="135" spans="1:17" s="28" customFormat="1" ht="19.899999999999999" customHeight="1" x14ac:dyDescent="0.3">
      <c r="A135" s="622">
        <v>17</v>
      </c>
      <c r="B135" s="643" t="s">
        <v>198</v>
      </c>
      <c r="C135" s="642">
        <v>3100000</v>
      </c>
      <c r="D135" s="622"/>
      <c r="E135" s="626"/>
      <c r="F135" s="626"/>
      <c r="G135" s="626"/>
      <c r="H135" s="626"/>
      <c r="I135" s="628">
        <f t="shared" si="24"/>
        <v>37200000</v>
      </c>
      <c r="J135" s="627"/>
      <c r="K135" s="627">
        <f t="shared" si="20"/>
        <v>37200000</v>
      </c>
      <c r="L135" s="626"/>
      <c r="M135" s="628"/>
      <c r="N135" s="627">
        <f t="shared" si="16"/>
        <v>37200000</v>
      </c>
      <c r="O135" s="629">
        <f t="shared" si="26"/>
        <v>37200000</v>
      </c>
      <c r="P135" s="630"/>
      <c r="Q135" s="630"/>
    </row>
    <row r="136" spans="1:17" s="28" customFormat="1" ht="19.899999999999999" customHeight="1" x14ac:dyDescent="0.3">
      <c r="A136" s="622">
        <v>18</v>
      </c>
      <c r="B136" s="643" t="s">
        <v>199</v>
      </c>
      <c r="C136" s="642">
        <v>3100000</v>
      </c>
      <c r="D136" s="622"/>
      <c r="E136" s="626"/>
      <c r="F136" s="626"/>
      <c r="G136" s="626"/>
      <c r="H136" s="626"/>
      <c r="I136" s="628">
        <f t="shared" si="24"/>
        <v>37200000</v>
      </c>
      <c r="J136" s="627"/>
      <c r="K136" s="627">
        <f t="shared" si="20"/>
        <v>37200000</v>
      </c>
      <c r="L136" s="626"/>
      <c r="M136" s="628"/>
      <c r="N136" s="627">
        <f t="shared" si="16"/>
        <v>37200000</v>
      </c>
      <c r="O136" s="629">
        <f t="shared" si="26"/>
        <v>37200000</v>
      </c>
      <c r="P136" s="630"/>
      <c r="Q136" s="629"/>
    </row>
    <row r="137" spans="1:17" s="28" customFormat="1" ht="19.899999999999999" customHeight="1" x14ac:dyDescent="0.3">
      <c r="A137" s="622">
        <v>19</v>
      </c>
      <c r="B137" s="643" t="s">
        <v>200</v>
      </c>
      <c r="C137" s="642">
        <v>3500000</v>
      </c>
      <c r="D137" s="622"/>
      <c r="E137" s="626"/>
      <c r="F137" s="626"/>
      <c r="G137" s="626"/>
      <c r="H137" s="626"/>
      <c r="I137" s="628">
        <f t="shared" si="24"/>
        <v>42000000</v>
      </c>
      <c r="J137" s="627"/>
      <c r="K137" s="627">
        <f t="shared" si="20"/>
        <v>42000000</v>
      </c>
      <c r="L137" s="626"/>
      <c r="M137" s="628"/>
      <c r="N137" s="627">
        <f t="shared" si="16"/>
        <v>42000000</v>
      </c>
      <c r="O137" s="630"/>
      <c r="Q137" s="629">
        <f>N137</f>
        <v>42000000</v>
      </c>
    </row>
    <row r="138" spans="1:17" s="28" customFormat="1" ht="19.899999999999999" customHeight="1" x14ac:dyDescent="0.3">
      <c r="A138" s="622">
        <v>20</v>
      </c>
      <c r="B138" s="643" t="s">
        <v>201</v>
      </c>
      <c r="C138" s="642">
        <v>3500000</v>
      </c>
      <c r="D138" s="622"/>
      <c r="E138" s="626"/>
      <c r="F138" s="626"/>
      <c r="G138" s="626"/>
      <c r="H138" s="626"/>
      <c r="I138" s="628">
        <f t="shared" si="24"/>
        <v>42000000</v>
      </c>
      <c r="J138" s="627"/>
      <c r="K138" s="627">
        <f t="shared" si="20"/>
        <v>42000000</v>
      </c>
      <c r="L138" s="626"/>
      <c r="M138" s="628"/>
      <c r="N138" s="627">
        <f t="shared" ref="N138:N152" si="27">SUM(K138:M138)</f>
        <v>42000000</v>
      </c>
      <c r="O138" s="630"/>
      <c r="P138" s="629"/>
      <c r="Q138" s="629">
        <f>N138</f>
        <v>42000000</v>
      </c>
    </row>
    <row r="139" spans="1:17" s="28" customFormat="1" ht="19.899999999999999" customHeight="1" x14ac:dyDescent="0.3">
      <c r="A139" s="622">
        <v>21</v>
      </c>
      <c r="B139" s="643" t="s">
        <v>202</v>
      </c>
      <c r="C139" s="642">
        <v>3500000</v>
      </c>
      <c r="D139" s="622"/>
      <c r="E139" s="626"/>
      <c r="F139" s="626"/>
      <c r="G139" s="626"/>
      <c r="H139" s="626"/>
      <c r="I139" s="628">
        <f t="shared" si="24"/>
        <v>42000000</v>
      </c>
      <c r="J139" s="627"/>
      <c r="K139" s="627">
        <f t="shared" si="20"/>
        <v>42000000</v>
      </c>
      <c r="L139" s="626"/>
      <c r="M139" s="628"/>
      <c r="N139" s="627">
        <f t="shared" si="27"/>
        <v>42000000</v>
      </c>
      <c r="O139" s="630"/>
      <c r="P139" s="629">
        <f t="shared" ref="P139:P148" si="28">N139</f>
        <v>42000000</v>
      </c>
      <c r="Q139" s="630"/>
    </row>
    <row r="140" spans="1:17" s="28" customFormat="1" ht="19.899999999999999" customHeight="1" x14ac:dyDescent="0.3">
      <c r="A140" s="622">
        <v>22</v>
      </c>
      <c r="B140" s="643" t="s">
        <v>203</v>
      </c>
      <c r="C140" s="642">
        <v>3500000</v>
      </c>
      <c r="D140" s="622"/>
      <c r="E140" s="626"/>
      <c r="F140" s="626"/>
      <c r="G140" s="626"/>
      <c r="H140" s="626"/>
      <c r="I140" s="628">
        <f t="shared" si="24"/>
        <v>42000000</v>
      </c>
      <c r="J140" s="627"/>
      <c r="K140" s="627">
        <f t="shared" si="20"/>
        <v>42000000</v>
      </c>
      <c r="L140" s="626"/>
      <c r="M140" s="628"/>
      <c r="N140" s="627">
        <f t="shared" si="27"/>
        <v>42000000</v>
      </c>
      <c r="O140" s="630"/>
      <c r="P140" s="629"/>
      <c r="Q140" s="629">
        <v>42000000</v>
      </c>
    </row>
    <row r="141" spans="1:17" s="28" customFormat="1" ht="19.899999999999999" customHeight="1" x14ac:dyDescent="0.3">
      <c r="A141" s="622">
        <v>23</v>
      </c>
      <c r="B141" s="643" t="s">
        <v>204</v>
      </c>
      <c r="C141" s="642">
        <v>3500000</v>
      </c>
      <c r="D141" s="622"/>
      <c r="E141" s="626"/>
      <c r="F141" s="626"/>
      <c r="G141" s="626"/>
      <c r="H141" s="626"/>
      <c r="I141" s="628">
        <f t="shared" si="24"/>
        <v>42000000</v>
      </c>
      <c r="J141" s="627"/>
      <c r="K141" s="627">
        <f t="shared" si="20"/>
        <v>42000000</v>
      </c>
      <c r="L141" s="626"/>
      <c r="M141" s="628"/>
      <c r="N141" s="627">
        <f t="shared" si="27"/>
        <v>42000000</v>
      </c>
      <c r="O141" s="630"/>
      <c r="P141" s="629">
        <f t="shared" si="28"/>
        <v>42000000</v>
      </c>
      <c r="Q141" s="630"/>
    </row>
    <row r="142" spans="1:17" s="28" customFormat="1" ht="19.899999999999999" customHeight="1" x14ac:dyDescent="0.3">
      <c r="A142" s="622">
        <v>24</v>
      </c>
      <c r="B142" s="643" t="s">
        <v>205</v>
      </c>
      <c r="C142" s="642">
        <v>3500000</v>
      </c>
      <c r="D142" s="622"/>
      <c r="E142" s="626"/>
      <c r="F142" s="626"/>
      <c r="G142" s="626"/>
      <c r="H142" s="626"/>
      <c r="I142" s="628">
        <f t="shared" si="24"/>
        <v>42000000</v>
      </c>
      <c r="J142" s="627"/>
      <c r="K142" s="627">
        <f t="shared" si="20"/>
        <v>42000000</v>
      </c>
      <c r="L142" s="626"/>
      <c r="M142" s="628"/>
      <c r="N142" s="627">
        <f t="shared" si="27"/>
        <v>42000000</v>
      </c>
      <c r="O142" s="630"/>
      <c r="P142" s="629">
        <f t="shared" si="28"/>
        <v>42000000</v>
      </c>
      <c r="Q142" s="630"/>
    </row>
    <row r="143" spans="1:17" s="28" customFormat="1" ht="19.899999999999999" customHeight="1" x14ac:dyDescent="0.3">
      <c r="A143" s="622">
        <v>25</v>
      </c>
      <c r="B143" s="643" t="s">
        <v>206</v>
      </c>
      <c r="C143" s="642">
        <v>4000000</v>
      </c>
      <c r="D143" s="622"/>
      <c r="E143" s="626"/>
      <c r="F143" s="626"/>
      <c r="G143" s="626"/>
      <c r="H143" s="626"/>
      <c r="I143" s="628">
        <f t="shared" si="24"/>
        <v>48000000</v>
      </c>
      <c r="J143" s="627"/>
      <c r="K143" s="627">
        <f t="shared" si="20"/>
        <v>48000000</v>
      </c>
      <c r="L143" s="626"/>
      <c r="M143" s="628"/>
      <c r="N143" s="627">
        <f t="shared" si="27"/>
        <v>48000000</v>
      </c>
      <c r="O143" s="630"/>
      <c r="P143" s="629">
        <f t="shared" si="28"/>
        <v>48000000</v>
      </c>
      <c r="Q143" s="630"/>
    </row>
    <row r="144" spans="1:17" s="28" customFormat="1" ht="19.899999999999999" customHeight="1" x14ac:dyDescent="0.3">
      <c r="A144" s="622">
        <v>26</v>
      </c>
      <c r="B144" s="643" t="s">
        <v>207</v>
      </c>
      <c r="C144" s="642">
        <v>4000000</v>
      </c>
      <c r="D144" s="622"/>
      <c r="E144" s="626"/>
      <c r="F144" s="626"/>
      <c r="G144" s="626"/>
      <c r="H144" s="626"/>
      <c r="I144" s="628">
        <f t="shared" si="24"/>
        <v>48000000</v>
      </c>
      <c r="J144" s="627"/>
      <c r="K144" s="627">
        <f t="shared" si="20"/>
        <v>48000000</v>
      </c>
      <c r="L144" s="626"/>
      <c r="M144" s="628"/>
      <c r="N144" s="627">
        <f t="shared" si="27"/>
        <v>48000000</v>
      </c>
      <c r="O144" s="630"/>
      <c r="P144" s="629">
        <f t="shared" si="28"/>
        <v>48000000</v>
      </c>
      <c r="Q144" s="630"/>
    </row>
    <row r="145" spans="1:17" s="28" customFormat="1" ht="19.899999999999999" customHeight="1" x14ac:dyDescent="0.3">
      <c r="A145" s="622">
        <v>27</v>
      </c>
      <c r="B145" s="643" t="s">
        <v>208</v>
      </c>
      <c r="C145" s="642">
        <v>4000000</v>
      </c>
      <c r="D145" s="622"/>
      <c r="E145" s="626"/>
      <c r="F145" s="626"/>
      <c r="G145" s="626"/>
      <c r="H145" s="626"/>
      <c r="I145" s="628">
        <f t="shared" si="24"/>
        <v>48000000</v>
      </c>
      <c r="J145" s="627"/>
      <c r="K145" s="627">
        <f t="shared" si="20"/>
        <v>48000000</v>
      </c>
      <c r="L145" s="626"/>
      <c r="M145" s="628"/>
      <c r="N145" s="627">
        <f t="shared" si="27"/>
        <v>48000000</v>
      </c>
      <c r="O145" s="630"/>
      <c r="P145" s="629"/>
      <c r="Q145" s="629">
        <f>N145</f>
        <v>48000000</v>
      </c>
    </row>
    <row r="146" spans="1:17" s="28" customFormat="1" ht="19.899999999999999" customHeight="1" x14ac:dyDescent="0.3">
      <c r="A146" s="622">
        <v>28</v>
      </c>
      <c r="B146" s="643" t="s">
        <v>209</v>
      </c>
      <c r="C146" s="642">
        <v>4000000</v>
      </c>
      <c r="D146" s="622"/>
      <c r="E146" s="626"/>
      <c r="F146" s="626"/>
      <c r="G146" s="626"/>
      <c r="H146" s="626"/>
      <c r="I146" s="628">
        <f t="shared" si="24"/>
        <v>48000000</v>
      </c>
      <c r="J146" s="627"/>
      <c r="K146" s="627">
        <f t="shared" si="20"/>
        <v>48000000</v>
      </c>
      <c r="L146" s="626"/>
      <c r="M146" s="628"/>
      <c r="N146" s="627">
        <f t="shared" si="27"/>
        <v>48000000</v>
      </c>
      <c r="O146" s="630"/>
      <c r="P146" s="629"/>
      <c r="Q146" s="629">
        <f>N146</f>
        <v>48000000</v>
      </c>
    </row>
    <row r="147" spans="1:17" s="28" customFormat="1" ht="19.899999999999999" customHeight="1" x14ac:dyDescent="0.3">
      <c r="A147" s="622">
        <v>29</v>
      </c>
      <c r="B147" s="643" t="s">
        <v>210</v>
      </c>
      <c r="C147" s="642">
        <v>4000000</v>
      </c>
      <c r="D147" s="622"/>
      <c r="E147" s="626"/>
      <c r="F147" s="626"/>
      <c r="G147" s="626"/>
      <c r="H147" s="626"/>
      <c r="I147" s="628">
        <f t="shared" si="24"/>
        <v>48000000</v>
      </c>
      <c r="J147" s="627"/>
      <c r="K147" s="627">
        <f t="shared" si="20"/>
        <v>48000000</v>
      </c>
      <c r="L147" s="626"/>
      <c r="M147" s="628"/>
      <c r="N147" s="627">
        <f t="shared" si="27"/>
        <v>48000000</v>
      </c>
      <c r="O147" s="630"/>
      <c r="P147" s="629">
        <f t="shared" si="28"/>
        <v>48000000</v>
      </c>
      <c r="Q147" s="630"/>
    </row>
    <row r="148" spans="1:17" s="28" customFormat="1" ht="19.899999999999999" customHeight="1" x14ac:dyDescent="0.3">
      <c r="A148" s="622">
        <v>30</v>
      </c>
      <c r="B148" s="643" t="s">
        <v>211</v>
      </c>
      <c r="C148" s="642">
        <v>3500000</v>
      </c>
      <c r="D148" s="622"/>
      <c r="E148" s="626"/>
      <c r="F148" s="626"/>
      <c r="G148" s="626"/>
      <c r="H148" s="626"/>
      <c r="I148" s="628">
        <f t="shared" si="24"/>
        <v>42000000</v>
      </c>
      <c r="J148" s="627"/>
      <c r="K148" s="627">
        <f t="shared" si="20"/>
        <v>42000000</v>
      </c>
      <c r="L148" s="626"/>
      <c r="M148" s="628"/>
      <c r="N148" s="627">
        <f t="shared" si="27"/>
        <v>42000000</v>
      </c>
      <c r="O148" s="630"/>
      <c r="P148" s="629">
        <f t="shared" si="28"/>
        <v>42000000</v>
      </c>
      <c r="Q148" s="630"/>
    </row>
    <row r="149" spans="1:17" s="28" customFormat="1" ht="19.899999999999999" customHeight="1" x14ac:dyDescent="0.3">
      <c r="A149" s="622">
        <v>31</v>
      </c>
      <c r="B149" s="641" t="s">
        <v>212</v>
      </c>
      <c r="C149" s="642">
        <v>6500000</v>
      </c>
      <c r="D149" s="622"/>
      <c r="E149" s="626"/>
      <c r="F149" s="626"/>
      <c r="G149" s="626"/>
      <c r="H149" s="626"/>
      <c r="I149" s="628">
        <f t="shared" si="24"/>
        <v>78000000</v>
      </c>
      <c r="J149" s="627"/>
      <c r="K149" s="627">
        <f t="shared" si="20"/>
        <v>78000000</v>
      </c>
      <c r="L149" s="626"/>
      <c r="M149" s="628"/>
      <c r="N149" s="627">
        <f t="shared" si="27"/>
        <v>78000000</v>
      </c>
      <c r="O149" s="630"/>
      <c r="P149" s="629">
        <f>N149</f>
        <v>78000000</v>
      </c>
      <c r="Q149" s="630"/>
    </row>
    <row r="150" spans="1:17" s="28" customFormat="1" ht="19.899999999999999" customHeight="1" x14ac:dyDescent="0.3">
      <c r="A150" s="622">
        <v>32</v>
      </c>
      <c r="B150" s="641" t="s">
        <v>213</v>
      </c>
      <c r="C150" s="642">
        <v>6500000</v>
      </c>
      <c r="D150" s="622"/>
      <c r="E150" s="626"/>
      <c r="F150" s="626"/>
      <c r="G150" s="626"/>
      <c r="H150" s="626"/>
      <c r="I150" s="628">
        <f t="shared" si="24"/>
        <v>78000000</v>
      </c>
      <c r="J150" s="627"/>
      <c r="K150" s="627">
        <f t="shared" si="20"/>
        <v>78000000</v>
      </c>
      <c r="L150" s="626"/>
      <c r="M150" s="628"/>
      <c r="N150" s="627">
        <f t="shared" si="27"/>
        <v>78000000</v>
      </c>
      <c r="O150" s="630"/>
      <c r="P150" s="629">
        <f>N150</f>
        <v>78000000</v>
      </c>
      <c r="Q150" s="630"/>
    </row>
    <row r="151" spans="1:17" s="28" customFormat="1" ht="19.899999999999999" customHeight="1" x14ac:dyDescent="0.3">
      <c r="A151" s="622">
        <v>33</v>
      </c>
      <c r="B151" s="641" t="s">
        <v>214</v>
      </c>
      <c r="C151" s="642">
        <v>3500000</v>
      </c>
      <c r="D151" s="622"/>
      <c r="E151" s="626"/>
      <c r="F151" s="626"/>
      <c r="G151" s="626"/>
      <c r="H151" s="626"/>
      <c r="I151" s="628">
        <f t="shared" si="24"/>
        <v>42000000</v>
      </c>
      <c r="J151" s="627"/>
      <c r="K151" s="627">
        <f t="shared" si="20"/>
        <v>42000000</v>
      </c>
      <c r="L151" s="626"/>
      <c r="M151" s="628"/>
      <c r="N151" s="627">
        <f t="shared" si="27"/>
        <v>42000000</v>
      </c>
      <c r="O151" s="630"/>
      <c r="P151" s="629">
        <f>N151</f>
        <v>42000000</v>
      </c>
      <c r="Q151" s="630"/>
    </row>
    <row r="152" spans="1:17" s="28" customFormat="1" ht="19.899999999999999" customHeight="1" x14ac:dyDescent="0.3">
      <c r="A152" s="622">
        <v>34</v>
      </c>
      <c r="B152" s="641" t="s">
        <v>215</v>
      </c>
      <c r="C152" s="642">
        <v>6500000</v>
      </c>
      <c r="D152" s="622"/>
      <c r="E152" s="626"/>
      <c r="F152" s="626"/>
      <c r="G152" s="626"/>
      <c r="H152" s="626"/>
      <c r="I152" s="628">
        <f t="shared" si="24"/>
        <v>78000000</v>
      </c>
      <c r="J152" s="627"/>
      <c r="K152" s="627">
        <f t="shared" si="20"/>
        <v>78000000</v>
      </c>
      <c r="L152" s="626"/>
      <c r="M152" s="628"/>
      <c r="N152" s="627">
        <f t="shared" si="27"/>
        <v>78000000</v>
      </c>
      <c r="O152" s="630"/>
      <c r="P152" s="629">
        <f>N152</f>
        <v>78000000</v>
      </c>
      <c r="Q152" s="630"/>
    </row>
    <row r="153" spans="1:17" s="28" customFormat="1" ht="19.899999999999999" customHeight="1" x14ac:dyDescent="0.3">
      <c r="A153" s="644"/>
      <c r="B153" s="644" t="s">
        <v>62</v>
      </c>
      <c r="C153" s="645">
        <f>C61+C118</f>
        <v>492785000</v>
      </c>
      <c r="D153" s="646">
        <f>D8</f>
        <v>7.2489999999999997</v>
      </c>
      <c r="E153" s="646">
        <f>E8</f>
        <v>6.6</v>
      </c>
      <c r="F153" s="646">
        <f>F8</f>
        <v>0.1</v>
      </c>
      <c r="G153" s="646">
        <f>G8</f>
        <v>0.30000000000000004</v>
      </c>
      <c r="H153" s="646"/>
      <c r="I153" s="647">
        <f>I8+I61+I118</f>
        <v>11611385520</v>
      </c>
      <c r="J153" s="648">
        <f>J8+J61</f>
        <v>2378330077.1999998</v>
      </c>
      <c r="K153" s="648">
        <f>K8+K61</f>
        <v>12510115597.200001</v>
      </c>
      <c r="L153" s="645">
        <f>SUBTOTAL(9,L8:L152)</f>
        <v>20200000</v>
      </c>
      <c r="M153" s="645">
        <f>SUBTOTAL(9,M8:M152)</f>
        <v>7050000</v>
      </c>
      <c r="N153" s="648">
        <f>N8+N61+N118</f>
        <v>14006865597.200001</v>
      </c>
      <c r="O153" s="648">
        <f>O8+O61+O118</f>
        <v>10640265597.200001</v>
      </c>
      <c r="P153" s="648">
        <f>P8+P61+P118</f>
        <v>1651927800</v>
      </c>
      <c r="Q153" s="648">
        <f>Q8+Q61+Q118</f>
        <v>1714672200</v>
      </c>
    </row>
    <row r="154" spans="1:17" x14ac:dyDescent="0.25">
      <c r="A154" s="30"/>
      <c r="B154" s="148"/>
      <c r="C154" s="25"/>
      <c r="D154" s="25"/>
      <c r="E154" s="51"/>
      <c r="F154" s="51"/>
      <c r="G154" s="51"/>
      <c r="H154" s="51"/>
      <c r="I154" s="52"/>
      <c r="J154" s="52"/>
      <c r="K154" s="52"/>
      <c r="L154" s="51"/>
      <c r="M154" s="51"/>
      <c r="N154" s="52"/>
      <c r="O154" s="20"/>
    </row>
    <row r="155" spans="1:17" x14ac:dyDescent="0.25">
      <c r="A155" s="21"/>
      <c r="B155" s="149"/>
      <c r="C155" s="21"/>
      <c r="D155" s="21"/>
      <c r="E155" s="53"/>
      <c r="F155" s="54"/>
      <c r="G155" s="53"/>
      <c r="H155" s="53"/>
      <c r="I155" s="21"/>
      <c r="J155" s="21"/>
      <c r="K155" s="21"/>
      <c r="L155" s="53"/>
      <c r="M155" s="53"/>
      <c r="N155" s="21"/>
    </row>
    <row r="156" spans="1:17" x14ac:dyDescent="0.25">
      <c r="A156" s="21"/>
      <c r="B156" s="149"/>
      <c r="C156" s="21"/>
      <c r="D156" s="21"/>
      <c r="E156" s="53"/>
      <c r="F156" s="53"/>
      <c r="G156" s="53"/>
      <c r="H156" s="53"/>
      <c r="I156" s="21"/>
      <c r="J156" s="21"/>
      <c r="K156" s="21"/>
      <c r="L156" s="53"/>
      <c r="M156" s="53"/>
      <c r="N156" s="21"/>
    </row>
    <row r="163" spans="1:15" s="2" customFormat="1" x14ac:dyDescent="0.25">
      <c r="A163" s="33"/>
      <c r="B163" s="34"/>
      <c r="C163" s="47"/>
      <c r="D163" s="47"/>
      <c r="I163" s="50"/>
      <c r="J163" s="50"/>
      <c r="K163" s="50"/>
      <c r="N163" s="50"/>
      <c r="O163" s="21"/>
    </row>
    <row r="164" spans="1:15" s="2" customFormat="1" x14ac:dyDescent="0.25">
      <c r="A164" s="33"/>
      <c r="B164" s="34"/>
      <c r="C164" s="47"/>
      <c r="D164" s="47"/>
      <c r="I164" s="50"/>
      <c r="J164" s="50"/>
      <c r="K164" s="50"/>
      <c r="N164" s="50"/>
      <c r="O164" s="21"/>
    </row>
  </sheetData>
  <mergeCells count="12">
    <mergeCell ref="K5:K6"/>
    <mergeCell ref="N5:N6"/>
    <mergeCell ref="O5:Q5"/>
    <mergeCell ref="A1:D1"/>
    <mergeCell ref="A2:D2"/>
    <mergeCell ref="J5:J6"/>
    <mergeCell ref="A5:A6"/>
    <mergeCell ref="B5:B6"/>
    <mergeCell ref="C5:C6"/>
    <mergeCell ref="I5:I6"/>
    <mergeCell ref="D5:H5"/>
    <mergeCell ref="A3:Q3"/>
  </mergeCells>
  <pageMargins left="0.29166666666666702" right="0" top="0.196850393700787" bottom="0.196850393700787" header="0.31496062992126" footer="0.31496062992126"/>
  <pageSetup paperSize="9" scale="6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6" zoomScale="90" zoomScaleNormal="90" zoomScalePageLayoutView="90" workbookViewId="0">
      <selection activeCell="F10" sqref="A1:K10"/>
    </sheetView>
  </sheetViews>
  <sheetFormatPr defaultColWidth="8.69921875" defaultRowHeight="15" x14ac:dyDescent="0.3"/>
  <cols>
    <col min="1" max="1" width="2.8984375" style="74" customWidth="1"/>
    <col min="2" max="2" width="21.3984375" style="69" customWidth="1"/>
    <col min="3" max="3" width="6.8984375" style="69" customWidth="1"/>
    <col min="4" max="4" width="15.796875" style="69" customWidth="1"/>
    <col min="5" max="5" width="17.8984375" style="69" customWidth="1"/>
    <col min="6" max="6" width="17.69921875" style="146" customWidth="1"/>
    <col min="7" max="10" width="4.796875" style="74" customWidth="1"/>
    <col min="11" max="11" width="13.296875" style="69" customWidth="1"/>
    <col min="12" max="16384" width="8.69921875" style="69"/>
  </cols>
  <sheetData>
    <row r="1" spans="1:11" ht="40.5" customHeight="1" x14ac:dyDescent="0.3">
      <c r="A1" s="912" t="s">
        <v>1146</v>
      </c>
      <c r="B1" s="912"/>
      <c r="C1" s="912"/>
      <c r="D1" s="912"/>
      <c r="E1" s="912"/>
      <c r="F1" s="912"/>
      <c r="G1" s="912"/>
      <c r="H1" s="912"/>
      <c r="I1" s="912"/>
      <c r="J1" s="912"/>
      <c r="K1" s="912"/>
    </row>
    <row r="2" spans="1:11" x14ac:dyDescent="0.3">
      <c r="A2" s="856"/>
      <c r="B2" s="856"/>
      <c r="C2" s="856"/>
      <c r="D2" s="856"/>
      <c r="E2" s="856"/>
      <c r="F2" s="913"/>
      <c r="G2" s="856"/>
      <c r="H2" s="856"/>
      <c r="I2" s="856"/>
      <c r="J2" s="856" t="s">
        <v>977</v>
      </c>
      <c r="K2" s="856"/>
    </row>
    <row r="3" spans="1:11" x14ac:dyDescent="0.3">
      <c r="A3" s="865"/>
      <c r="B3" s="914"/>
      <c r="C3" s="875"/>
      <c r="D3" s="875"/>
      <c r="E3" s="915" t="s">
        <v>351</v>
      </c>
      <c r="F3" s="915"/>
      <c r="G3" s="915"/>
      <c r="H3" s="915"/>
      <c r="I3" s="915"/>
      <c r="J3" s="915"/>
      <c r="K3" s="915"/>
    </row>
    <row r="4" spans="1:11" ht="75.75" customHeight="1" x14ac:dyDescent="0.3">
      <c r="A4" s="916" t="s">
        <v>344</v>
      </c>
      <c r="B4" s="916" t="s">
        <v>509</v>
      </c>
      <c r="C4" s="916" t="s">
        <v>348</v>
      </c>
      <c r="D4" s="916" t="s">
        <v>219</v>
      </c>
      <c r="E4" s="916" t="s">
        <v>466</v>
      </c>
      <c r="F4" s="917" t="s">
        <v>467</v>
      </c>
      <c r="G4" s="918" t="s">
        <v>463</v>
      </c>
      <c r="H4" s="918"/>
      <c r="I4" s="918" t="s">
        <v>354</v>
      </c>
      <c r="J4" s="918"/>
      <c r="K4" s="916" t="s">
        <v>239</v>
      </c>
    </row>
    <row r="5" spans="1:11" ht="83.25" customHeight="1" x14ac:dyDescent="0.3">
      <c r="A5" s="919"/>
      <c r="B5" s="919"/>
      <c r="C5" s="919"/>
      <c r="D5" s="919"/>
      <c r="E5" s="919"/>
      <c r="F5" s="920"/>
      <c r="G5" s="921" t="s">
        <v>349</v>
      </c>
      <c r="H5" s="921" t="s">
        <v>350</v>
      </c>
      <c r="I5" s="921" t="s">
        <v>349</v>
      </c>
      <c r="J5" s="921" t="s">
        <v>350</v>
      </c>
      <c r="K5" s="919"/>
    </row>
    <row r="6" spans="1:11" ht="43.5" customHeight="1" x14ac:dyDescent="0.3">
      <c r="A6" s="922">
        <v>1</v>
      </c>
      <c r="B6" s="923" t="s">
        <v>1128</v>
      </c>
      <c r="C6" s="922">
        <v>20000</v>
      </c>
      <c r="D6" s="924">
        <v>5283460000</v>
      </c>
      <c r="E6" s="925">
        <v>7300000000</v>
      </c>
      <c r="F6" s="926">
        <f>'Bieu 04'!E8</f>
        <v>7900000000</v>
      </c>
      <c r="G6" s="927">
        <v>0.6</v>
      </c>
      <c r="H6" s="927">
        <v>0.4</v>
      </c>
      <c r="I6" s="927">
        <v>1</v>
      </c>
      <c r="J6" s="927"/>
      <c r="K6" s="922" t="s">
        <v>465</v>
      </c>
    </row>
    <row r="7" spans="1:11" ht="43.5" customHeight="1" x14ac:dyDescent="0.3">
      <c r="A7" s="922">
        <v>2</v>
      </c>
      <c r="B7" s="923" t="s">
        <v>994</v>
      </c>
      <c r="C7" s="922">
        <v>20000</v>
      </c>
      <c r="D7" s="924">
        <v>7595240000</v>
      </c>
      <c r="E7" s="925">
        <v>9500000000</v>
      </c>
      <c r="F7" s="926">
        <f>'Bieu 04'!E9</f>
        <v>9100000000</v>
      </c>
      <c r="G7" s="927">
        <v>0.6</v>
      </c>
      <c r="H7" s="927">
        <v>0.4</v>
      </c>
      <c r="I7" s="927">
        <v>1</v>
      </c>
      <c r="J7" s="927"/>
      <c r="K7" s="922" t="s">
        <v>465</v>
      </c>
    </row>
    <row r="8" spans="1:11" ht="43.5" customHeight="1" x14ac:dyDescent="0.3">
      <c r="A8" s="922">
        <v>3</v>
      </c>
      <c r="B8" s="923" t="s">
        <v>995</v>
      </c>
      <c r="C8" s="922">
        <v>10000</v>
      </c>
      <c r="D8" s="924">
        <v>810590000</v>
      </c>
      <c r="E8" s="923">
        <v>818590000</v>
      </c>
      <c r="F8" s="926">
        <f>'Bieu 04'!E10</f>
        <v>700000000</v>
      </c>
      <c r="G8" s="927">
        <v>1</v>
      </c>
      <c r="H8" s="922"/>
      <c r="I8" s="927">
        <v>1</v>
      </c>
      <c r="J8" s="922"/>
      <c r="K8" s="922" t="s">
        <v>464</v>
      </c>
    </row>
    <row r="9" spans="1:11" ht="43.5" customHeight="1" x14ac:dyDescent="0.3">
      <c r="A9" s="922">
        <v>4</v>
      </c>
      <c r="B9" s="923" t="s">
        <v>996</v>
      </c>
      <c r="C9" s="922">
        <v>10000</v>
      </c>
      <c r="D9" s="924">
        <v>136000000</v>
      </c>
      <c r="E9" s="923">
        <v>138000000</v>
      </c>
      <c r="F9" s="926">
        <f>'Bieu 04'!E11</f>
        <v>200000000</v>
      </c>
      <c r="G9" s="927">
        <v>1</v>
      </c>
      <c r="H9" s="922"/>
      <c r="I9" s="927">
        <v>1</v>
      </c>
      <c r="J9" s="922"/>
      <c r="K9" s="922" t="s">
        <v>464</v>
      </c>
    </row>
    <row r="10" spans="1:11" ht="42" customHeight="1" x14ac:dyDescent="0.3">
      <c r="A10" s="928"/>
      <c r="B10" s="73" t="s">
        <v>347</v>
      </c>
      <c r="C10" s="929"/>
      <c r="D10" s="930">
        <f>SUM(D6:D9)</f>
        <v>13825290000</v>
      </c>
      <c r="E10" s="931">
        <f>SUM(E6:E9)</f>
        <v>17756590000</v>
      </c>
      <c r="F10" s="932">
        <f>SUM(F6:F9)</f>
        <v>17900000000</v>
      </c>
      <c r="G10" s="933"/>
      <c r="H10" s="933"/>
      <c r="I10" s="933"/>
      <c r="J10" s="933"/>
      <c r="K10" s="929"/>
    </row>
    <row r="11" spans="1:11" x14ac:dyDescent="0.3">
      <c r="A11" s="70"/>
      <c r="B11" s="71"/>
      <c r="C11" s="72"/>
      <c r="D11" s="72"/>
      <c r="E11" s="72"/>
      <c r="F11" s="145"/>
      <c r="G11" s="70"/>
      <c r="H11" s="70"/>
      <c r="I11" s="70"/>
      <c r="J11" s="70"/>
      <c r="K11" s="72"/>
    </row>
  </sheetData>
  <mergeCells count="11">
    <mergeCell ref="G4:H4"/>
    <mergeCell ref="I4:J4"/>
    <mergeCell ref="A1:K1"/>
    <mergeCell ref="E3:K3"/>
    <mergeCell ref="A4:A5"/>
    <mergeCell ref="B4:B5"/>
    <mergeCell ref="C4:C5"/>
    <mergeCell ref="E4:E5"/>
    <mergeCell ref="F4:F5"/>
    <mergeCell ref="K4:K5"/>
    <mergeCell ref="D4:D5"/>
  </mergeCells>
  <pageMargins left="0.97916666666666663" right="0" top="0.35433070866141736" bottom="0.35433070866141736" header="0.31496062992125984" footer="0.31496062992125984"/>
  <pageSetup paperSize="9" scale="9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80" zoomScaleNormal="80" workbookViewId="0">
      <selection activeCell="G7" sqref="A1:H15"/>
    </sheetView>
  </sheetViews>
  <sheetFormatPr defaultColWidth="8.69921875" defaultRowHeight="31.5" customHeight="1" x14ac:dyDescent="0.25"/>
  <cols>
    <col min="1" max="1" width="3.69921875" style="76" customWidth="1"/>
    <col min="2" max="2" width="28.59765625" style="76" customWidth="1"/>
    <col min="3" max="3" width="11.796875" style="76" hidden="1" customWidth="1"/>
    <col min="4" max="4" width="12.8984375" style="76" hidden="1" customWidth="1"/>
    <col min="5" max="5" width="15.796875" style="76" customWidth="1"/>
    <col min="6" max="6" width="15.59765625" style="150" customWidth="1"/>
    <col min="7" max="7" width="21" style="150" customWidth="1"/>
    <col min="8" max="8" width="12.59765625" style="78" customWidth="1"/>
    <col min="9" max="16384" width="8.69921875" style="76"/>
  </cols>
  <sheetData>
    <row r="1" spans="1:8" ht="31.5" customHeight="1" x14ac:dyDescent="0.25">
      <c r="A1" s="934"/>
      <c r="B1" s="934"/>
      <c r="C1" s="934"/>
      <c r="D1" s="934"/>
      <c r="E1" s="934"/>
      <c r="F1" s="935"/>
      <c r="G1" s="935"/>
      <c r="H1" s="936" t="s">
        <v>978</v>
      </c>
    </row>
    <row r="2" spans="1:8" s="79" customFormat="1" ht="25.5" customHeight="1" x14ac:dyDescent="0.3">
      <c r="A2" s="937" t="s">
        <v>982</v>
      </c>
      <c r="B2" s="937"/>
      <c r="C2" s="937"/>
      <c r="D2" s="937"/>
      <c r="E2" s="937"/>
      <c r="F2" s="937"/>
      <c r="G2" s="937"/>
      <c r="H2" s="937"/>
    </row>
    <row r="3" spans="1:8" ht="24" customHeight="1" x14ac:dyDescent="0.25">
      <c r="A3" s="938" t="s">
        <v>351</v>
      </c>
      <c r="B3" s="938"/>
      <c r="C3" s="938"/>
      <c r="D3" s="938"/>
      <c r="E3" s="938"/>
      <c r="F3" s="938"/>
      <c r="G3" s="938"/>
      <c r="H3" s="938"/>
    </row>
    <row r="4" spans="1:8" ht="31.5" customHeight="1" x14ac:dyDescent="0.25">
      <c r="A4" s="918" t="s">
        <v>344</v>
      </c>
      <c r="B4" s="918" t="s">
        <v>352</v>
      </c>
      <c r="C4" s="939"/>
      <c r="D4" s="939"/>
      <c r="E4" s="940" t="s">
        <v>219</v>
      </c>
      <c r="F4" s="941" t="s">
        <v>468</v>
      </c>
      <c r="G4" s="941" t="s">
        <v>1163</v>
      </c>
      <c r="H4" s="942" t="s">
        <v>24</v>
      </c>
    </row>
    <row r="5" spans="1:8" ht="18" customHeight="1" x14ac:dyDescent="0.25">
      <c r="A5" s="918"/>
      <c r="B5" s="918"/>
      <c r="C5" s="943" t="s">
        <v>345</v>
      </c>
      <c r="D5" s="943" t="s">
        <v>346</v>
      </c>
      <c r="E5" s="944"/>
      <c r="F5" s="941"/>
      <c r="G5" s="941"/>
      <c r="H5" s="945"/>
    </row>
    <row r="6" spans="1:8" ht="12" customHeight="1" x14ac:dyDescent="0.25">
      <c r="A6" s="918"/>
      <c r="B6" s="918"/>
      <c r="C6" s="943"/>
      <c r="D6" s="943"/>
      <c r="E6" s="946"/>
      <c r="F6" s="941"/>
      <c r="G6" s="941"/>
      <c r="H6" s="947"/>
    </row>
    <row r="7" spans="1:8" s="77" customFormat="1" ht="53.25" customHeight="1" x14ac:dyDescent="0.25">
      <c r="A7" s="921" t="s">
        <v>5</v>
      </c>
      <c r="B7" s="948" t="s">
        <v>1129</v>
      </c>
      <c r="C7" s="949" t="e">
        <f>'Bieu 6'!#REF!</f>
        <v>#REF!</v>
      </c>
      <c r="D7" s="949" t="e">
        <f>'Bieu 6'!#REF!</f>
        <v>#REF!</v>
      </c>
      <c r="E7" s="949">
        <f>'Bieu 6'!D10</f>
        <v>13825290000</v>
      </c>
      <c r="F7" s="950">
        <f>'Bieu 6'!E10</f>
        <v>17756590000</v>
      </c>
      <c r="G7" s="950">
        <f>'Bieu 6'!F10</f>
        <v>17900000000</v>
      </c>
      <c r="H7" s="951"/>
    </row>
    <row r="8" spans="1:8" s="77" customFormat="1" ht="45" customHeight="1" x14ac:dyDescent="0.25">
      <c r="A8" s="921" t="s">
        <v>1</v>
      </c>
      <c r="B8" s="948" t="s">
        <v>1164</v>
      </c>
      <c r="C8" s="949" t="e">
        <f>C7*60%</f>
        <v>#REF!</v>
      </c>
      <c r="D8" s="949" t="e">
        <f>D7*60%</f>
        <v>#REF!</v>
      </c>
      <c r="E8" s="949">
        <f>E7*60%</f>
        <v>8295174000</v>
      </c>
      <c r="F8" s="950">
        <f>'Bieu 02'!I7</f>
        <v>11036590000</v>
      </c>
      <c r="G8" s="950">
        <f>'Bieu 04'!E7</f>
        <v>17900000000</v>
      </c>
      <c r="H8" s="951"/>
    </row>
    <row r="9" spans="1:8" s="77" customFormat="1" ht="23.25" customHeight="1" x14ac:dyDescent="0.25">
      <c r="A9" s="921" t="s">
        <v>3</v>
      </c>
      <c r="B9" s="948" t="s">
        <v>353</v>
      </c>
      <c r="C9" s="949">
        <f>SUM(C10:C14)</f>
        <v>5435757000</v>
      </c>
      <c r="D9" s="949">
        <f>SUM(D10:D14)</f>
        <v>10288752000</v>
      </c>
      <c r="E9" s="949">
        <f>SUM(E10:E14)</f>
        <v>7242119490</v>
      </c>
      <c r="F9" s="950">
        <f>SUM(F10:F15)</f>
        <v>13918312138.200001</v>
      </c>
      <c r="G9" s="950">
        <f>SUM(G10:G15)</f>
        <v>17900000000.200001</v>
      </c>
      <c r="H9" s="949">
        <f>SUM(H10:H14)</f>
        <v>0</v>
      </c>
    </row>
    <row r="10" spans="1:8" ht="39.75" customHeight="1" x14ac:dyDescent="0.25">
      <c r="A10" s="952">
        <v>1</v>
      </c>
      <c r="B10" s="953" t="s">
        <v>1165</v>
      </c>
      <c r="C10" s="954">
        <f>4014355456+167955000</f>
        <v>4182310456</v>
      </c>
      <c r="D10" s="954">
        <v>6503262591</v>
      </c>
      <c r="E10" s="955">
        <v>5888000000</v>
      </c>
      <c r="F10" s="956">
        <f>'Bieu 03'!D7</f>
        <v>7884938954.1999998</v>
      </c>
      <c r="G10" s="956">
        <f>'Bieu 05'!D7</f>
        <v>10544178877.200001</v>
      </c>
      <c r="H10" s="951"/>
    </row>
    <row r="11" spans="1:8" ht="45" customHeight="1" x14ac:dyDescent="0.25">
      <c r="A11" s="952">
        <v>2</v>
      </c>
      <c r="B11" s="953" t="s">
        <v>271</v>
      </c>
      <c r="C11" s="954">
        <f>266793025+92845539</f>
        <v>359638564</v>
      </c>
      <c r="D11" s="954">
        <v>813177426</v>
      </c>
      <c r="E11" s="957">
        <v>362548482</v>
      </c>
      <c r="F11" s="958">
        <f>'Bieu 03'!D11</f>
        <v>1567600000</v>
      </c>
      <c r="G11" s="958">
        <f>'Bieu 05'!D12</f>
        <v>1565040000</v>
      </c>
      <c r="H11" s="951"/>
    </row>
    <row r="12" spans="1:8" ht="54.75" customHeight="1" x14ac:dyDescent="0.25">
      <c r="A12" s="952">
        <v>3</v>
      </c>
      <c r="B12" s="153" t="s">
        <v>273</v>
      </c>
      <c r="C12" s="954">
        <v>874607980</v>
      </c>
      <c r="D12" s="954">
        <v>1706295395</v>
      </c>
      <c r="E12" s="957">
        <v>720881008</v>
      </c>
      <c r="F12" s="958">
        <f>'Bieu 03'!D28</f>
        <v>746000000</v>
      </c>
      <c r="G12" s="958">
        <f>'Bieu 05'!D34</f>
        <v>790000000</v>
      </c>
      <c r="H12" s="951"/>
    </row>
    <row r="13" spans="1:8" ht="38.25" customHeight="1" x14ac:dyDescent="0.25">
      <c r="A13" s="952">
        <v>4</v>
      </c>
      <c r="B13" s="953" t="s">
        <v>276</v>
      </c>
      <c r="C13" s="954">
        <v>19200000</v>
      </c>
      <c r="D13" s="954">
        <v>82233840</v>
      </c>
      <c r="E13" s="957">
        <v>30690000</v>
      </c>
      <c r="F13" s="958">
        <f>'Bieu 03'!D44</f>
        <v>351000000</v>
      </c>
      <c r="G13" s="958">
        <f>'Bieu 05'!D42</f>
        <v>350000000</v>
      </c>
      <c r="H13" s="951"/>
    </row>
    <row r="14" spans="1:8" ht="42" customHeight="1" x14ac:dyDescent="0.25">
      <c r="A14" s="952">
        <v>5</v>
      </c>
      <c r="B14" s="153" t="s">
        <v>279</v>
      </c>
      <c r="C14" s="954"/>
      <c r="D14" s="954">
        <v>1183782748</v>
      </c>
      <c r="E14" s="957">
        <v>240000000</v>
      </c>
      <c r="F14" s="958">
        <f>'Bieu 03'!D86</f>
        <v>2579773184</v>
      </c>
      <c r="G14" s="958">
        <f>'Bieu 05'!D75</f>
        <v>3782781123</v>
      </c>
      <c r="H14" s="951"/>
    </row>
    <row r="15" spans="1:8" s="151" customFormat="1" ht="31.5" customHeight="1" x14ac:dyDescent="0.25">
      <c r="A15" s="959">
        <v>6</v>
      </c>
      <c r="B15" s="152" t="s">
        <v>297</v>
      </c>
      <c r="C15" s="960"/>
      <c r="D15" s="960"/>
      <c r="E15" s="960"/>
      <c r="F15" s="961">
        <f>'Bieu 03'!D261</f>
        <v>789000000</v>
      </c>
      <c r="G15" s="961">
        <f>'Bieu 05'!D157</f>
        <v>868000000</v>
      </c>
      <c r="H15" s="962"/>
    </row>
  </sheetData>
  <mergeCells count="8">
    <mergeCell ref="A2:H2"/>
    <mergeCell ref="A4:A6"/>
    <mergeCell ref="B4:B6"/>
    <mergeCell ref="F4:F6"/>
    <mergeCell ref="H4:H6"/>
    <mergeCell ref="G4:G6"/>
    <mergeCell ref="A3:H3"/>
    <mergeCell ref="E4:E6"/>
  </mergeCells>
  <pageMargins left="1.1875" right="0.31496062992125984" top="0.35433070866141736" bottom="0.35433070866141736"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23</vt:i4>
      </vt:variant>
    </vt:vector>
  </HeadingPairs>
  <TitlesOfParts>
    <vt:vector size="50" baseType="lpstr">
      <vt:lpstr>Bieu 01 </vt:lpstr>
      <vt:lpstr>Bieu 02</vt:lpstr>
      <vt:lpstr>Bieu 03</vt:lpstr>
      <vt:lpstr>Bieu 03.1</vt:lpstr>
      <vt:lpstr>Bieu 04</vt:lpstr>
      <vt:lpstr>Bieu 05</vt:lpstr>
      <vt:lpstr>Bieu 05.1</vt:lpstr>
      <vt:lpstr>Bieu 6</vt:lpstr>
      <vt:lpstr>Bieu 7</vt:lpstr>
      <vt:lpstr>Bieu 8</vt:lpstr>
      <vt:lpstr>Bieu 9</vt:lpstr>
      <vt:lpstr>Bieu 10</vt:lpstr>
      <vt:lpstr>Bieu 11</vt:lpstr>
      <vt:lpstr>Bieu 12</vt:lpstr>
      <vt:lpstr>Bieu 13</vt:lpstr>
      <vt:lpstr>Bieu 14</vt:lpstr>
      <vt:lpstr>Bieu 15</vt:lpstr>
      <vt:lpstr>Bieu 15.1</vt:lpstr>
      <vt:lpstr>Bieu 15.2</vt:lpstr>
      <vt:lpstr>Bieu 16</vt:lpstr>
      <vt:lpstr>Bieu 16.1</vt:lpstr>
      <vt:lpstr>Bieu 16.2</vt:lpstr>
      <vt:lpstr>Bieu 16.3</vt:lpstr>
      <vt:lpstr>Bieu 16.4</vt:lpstr>
      <vt:lpstr>Bieu 17</vt:lpstr>
      <vt:lpstr>Bieu 18</vt:lpstr>
      <vt:lpstr>Bieu 19</vt:lpstr>
      <vt:lpstr>'Bieu 01 '!Print_Area</vt:lpstr>
      <vt:lpstr>'Bieu 02'!Print_Area</vt:lpstr>
      <vt:lpstr>'Bieu 03.1'!Print_Area</vt:lpstr>
      <vt:lpstr>'Bieu 04'!Print_Area</vt:lpstr>
      <vt:lpstr>'Bieu 05.1'!Print_Area</vt:lpstr>
      <vt:lpstr>'Bieu 14'!Print_Area</vt:lpstr>
      <vt:lpstr>'Bieu 15'!Print_Area</vt:lpstr>
      <vt:lpstr>'Bieu 16'!Print_Area</vt:lpstr>
      <vt:lpstr>'Bieu 16.4'!Print_Area</vt:lpstr>
      <vt:lpstr>'Bieu 6'!Print_Area</vt:lpstr>
      <vt:lpstr>'Bieu 7'!Print_Area</vt:lpstr>
      <vt:lpstr>'Bieu 01 '!Print_Titles</vt:lpstr>
      <vt:lpstr>'Bieu 02'!Print_Titles</vt:lpstr>
      <vt:lpstr>'Bieu 03'!Print_Titles</vt:lpstr>
      <vt:lpstr>'Bieu 03.1'!Print_Titles</vt:lpstr>
      <vt:lpstr>'Bieu 04'!Print_Titles</vt:lpstr>
      <vt:lpstr>'Bieu 05'!Print_Titles</vt:lpstr>
      <vt:lpstr>'Bieu 05.1'!Print_Titles</vt:lpstr>
      <vt:lpstr>'Bieu 14'!Print_Titles</vt:lpstr>
      <vt:lpstr>'Bieu 15'!Print_Titles</vt:lpstr>
      <vt:lpstr>'Bieu 15.1'!Print_Titles</vt:lpstr>
      <vt:lpstr>'Bieu 16.2'!Print_Titles</vt:lpstr>
      <vt:lpstr>'Bieu 16.4'!Print_Titles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PC</cp:lastModifiedBy>
  <cp:lastPrinted>2025-11-18T08:46:29Z</cp:lastPrinted>
  <dcterms:created xsi:type="dcterms:W3CDTF">2025-07-21T06:58:06Z</dcterms:created>
  <dcterms:modified xsi:type="dcterms:W3CDTF">2025-11-25T09:57:55Z</dcterms:modified>
</cp:coreProperties>
</file>